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tony_upzghcg\Documents\Money &amp; Taxes\Pay Info\Pay Program\"/>
    </mc:Choice>
  </mc:AlternateContent>
  <xr:revisionPtr revIDLastSave="0" documentId="13_ncr:1_{B1A40203-DA8D-49D2-BE82-277C437173B1}" xr6:coauthVersionLast="41" xr6:coauthVersionMax="41" xr10:uidLastSave="{00000000-0000-0000-0000-000000000000}"/>
  <bookViews>
    <workbookView xWindow="-120" yWindow="-120" windowWidth="20730" windowHeight="11160" tabRatio="928" xr2:uid="{00000000-000D-0000-FFFF-FFFF00000000}"/>
  </bookViews>
  <sheets>
    <sheet name="Start Page" sheetId="11" r:id="rId1"/>
    <sheet name="GS Pay Calculator" sheetId="26" state="hidden" r:id="rId2"/>
    <sheet name="GS Pay - No Locality" sheetId="27" state="hidden" r:id="rId3"/>
    <sheet name="Locality Rates" sheetId="28" state="hidden" r:id="rId4"/>
    <sheet name="Pay Retention &amp; Special Rates" sheetId="25" r:id="rId5"/>
    <sheet name="GS Pay Scale" sheetId="7" r:id="rId6"/>
    <sheet name="Shift Firefighters" sheetId="1" r:id="rId7"/>
    <sheet name="Chief, Training, Inspectors" sheetId="4" r:id="rId8"/>
    <sheet name="." sheetId="29" r:id="rId9"/>
  </sheets>
  <externalReferences>
    <externalReference r:id="rId10"/>
    <externalReference r:id="rId11"/>
  </externalReferences>
  <definedNames>
    <definedName name="COLA">#REF!</definedName>
    <definedName name="Hours">[1]Data!$A$6:$A$8</definedName>
    <definedName name="Inspectors">'GS Pay Calculator'!$A$33:$A$34</definedName>
    <definedName name="Locality">'Locality Rates'!$A$2:$A$63</definedName>
    <definedName name="Locality2005">'[2]Locality Rates'!$A$2:$A$52</definedName>
    <definedName name="Payperiods">'GS Pay Calculator'!#REF!</definedName>
    <definedName name="Post">'GS Pay Calculator'!$A$36:$A$37</definedName>
    <definedName name="_xlnm.Print_Area" localSheetId="7">'Chief, Training, Inspectors'!$A$1:$M$151</definedName>
    <definedName name="_xlnm.Print_Area" localSheetId="3">'Locality Rates'!$A$1:$C$67</definedName>
    <definedName name="Schedule">[1]Data!$A$2:$A$3</definedName>
    <definedName name="Shift">'GS Pay Calculator'!$A$31:$A$34</definedName>
    <definedName name="Shift1">'GS Pay Calculator'!$A$31:$A$34</definedName>
    <definedName name="TABLE" localSheetId="5">'GS Pay Scale'!$A$6:$K$18</definedName>
    <definedName name="TABLE_10" localSheetId="5">'GS Pay Scale'!$A$6:$K$18</definedName>
    <definedName name="TABLE_11" localSheetId="5">'GS Pay Scale'!$A$6:$K$18</definedName>
    <definedName name="TABLE_12" localSheetId="5">'GS Pay Scale'!$A$6:$K$18</definedName>
    <definedName name="TABLE_13" localSheetId="5">'GS Pay Scale'!$A$6:$K$18</definedName>
    <definedName name="TABLE_14" localSheetId="5">'GS Pay Scale'!$A$6:$K$18</definedName>
    <definedName name="TABLE_15" localSheetId="5">'GS Pay Scale'!$A$6:$K$18</definedName>
    <definedName name="TABLE_16" localSheetId="5">'GS Pay Scale'!$A$6:$K$18</definedName>
    <definedName name="TABLE_17" localSheetId="5">'GS Pay Scale'!$A$6:$K$18</definedName>
    <definedName name="TABLE_18" localSheetId="5">'GS Pay Scale'!$A$6:$K$18</definedName>
    <definedName name="TABLE_19" localSheetId="5">'GS Pay Scale'!$A$6:$K$18</definedName>
    <definedName name="TABLE_2" localSheetId="5">'GS Pay Scale'!$A$6:$K$18</definedName>
    <definedName name="TABLE_20" localSheetId="5">'GS Pay Scale'!$A$6:$K$18</definedName>
    <definedName name="TABLE_21" localSheetId="5">'GS Pay Scale'!$A$6:$K$18</definedName>
    <definedName name="TABLE_22" localSheetId="5">'GS Pay Scale'!$A$6:$K$18</definedName>
    <definedName name="TABLE_23" localSheetId="5">'GS Pay Scale'!$A$6:$K$18</definedName>
    <definedName name="TABLE_24" localSheetId="5">'GS Pay Scale'!$A$6:$K$18</definedName>
    <definedName name="TABLE_25" localSheetId="5">'GS Pay Scale'!$A$6:$K$18</definedName>
    <definedName name="TABLE_26" localSheetId="5">'GS Pay Scale'!$A$6:$K$18</definedName>
    <definedName name="TABLE_27" localSheetId="5">'GS Pay Scale'!$A$6:$K$18</definedName>
    <definedName name="TABLE_28" localSheetId="5">'GS Pay Scale'!$A$6:$K$18</definedName>
    <definedName name="TABLE_29" localSheetId="5">'GS Pay Scale'!$A$6:$K$18</definedName>
    <definedName name="TABLE_3" localSheetId="5">'GS Pay Scale'!$A$6:$K$18</definedName>
    <definedName name="TABLE_30" localSheetId="5">'GS Pay Scale'!$A$6:$K$18</definedName>
    <definedName name="TABLE_31" localSheetId="5">'GS Pay Scale'!$A$6:$K$18</definedName>
    <definedName name="TABLE_32" localSheetId="5">'GS Pay Scale'!$A$22:$K$33</definedName>
    <definedName name="TABLE_4" localSheetId="5">'GS Pay Scale'!$A$6:$K$18</definedName>
    <definedName name="TABLE_5" localSheetId="5">'GS Pay Scale'!$A$6:$K$18</definedName>
    <definedName name="TABLE_6" localSheetId="5">'GS Pay Scale'!$A$6:$K$18</definedName>
    <definedName name="TABLE_7" localSheetId="5">'GS Pay Scale'!$A$6:$K$18</definedName>
    <definedName name="TABLE_8" localSheetId="5">'GS Pay Scale'!$A$6:$K$18</definedName>
    <definedName name="TABLE_9" localSheetId="5">'GS Pay Scale'!$A$6:$K$18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4" i="28" l="1"/>
  <c r="C54" i="28"/>
  <c r="E48" i="28"/>
  <c r="C48" i="28"/>
  <c r="E39" i="28"/>
  <c r="C39" i="28"/>
  <c r="E12" i="28"/>
  <c r="C12" i="28"/>
  <c r="E9" i="28"/>
  <c r="C9" i="28" s="1"/>
  <c r="E55" i="28" l="1"/>
  <c r="C55" i="28" s="1"/>
  <c r="E53" i="28"/>
  <c r="C53" i="28" s="1"/>
  <c r="E52" i="28"/>
  <c r="C52" i="28" s="1"/>
  <c r="E51" i="28"/>
  <c r="C51" i="28" s="1"/>
  <c r="E50" i="28"/>
  <c r="C50" i="28" s="1"/>
  <c r="E49" i="28"/>
  <c r="C49" i="28" s="1"/>
  <c r="E25" i="28"/>
  <c r="C25" i="28" s="1"/>
  <c r="E24" i="28"/>
  <c r="C24" i="28" s="1"/>
  <c r="E23" i="28"/>
  <c r="C23" i="28" s="1"/>
  <c r="E22" i="28"/>
  <c r="C22" i="28" s="1"/>
  <c r="E21" i="28"/>
  <c r="C21" i="28" s="1"/>
  <c r="E20" i="28"/>
  <c r="C20" i="28" s="1"/>
  <c r="E19" i="28"/>
  <c r="C19" i="28" s="1"/>
  <c r="A1" i="11" l="1"/>
  <c r="A56" i="11"/>
  <c r="C63" i="11"/>
  <c r="E1" i="1" s="1"/>
  <c r="F4" i="1" s="1"/>
  <c r="A5" i="25"/>
  <c r="E63" i="28"/>
  <c r="C63" i="28" s="1"/>
  <c r="E62" i="28"/>
  <c r="C62" i="28" s="1"/>
  <c r="E26" i="28"/>
  <c r="C26" i="28" s="1"/>
  <c r="E27" i="28"/>
  <c r="C27" i="28" s="1"/>
  <c r="E4" i="28"/>
  <c r="C4" i="28" s="1"/>
  <c r="E3" i="28"/>
  <c r="C3" i="28" s="1"/>
  <c r="E61" i="28"/>
  <c r="C61" i="28" s="1"/>
  <c r="E60" i="28"/>
  <c r="C60" i="28" s="1"/>
  <c r="E59" i="28"/>
  <c r="C59" i="28" s="1"/>
  <c r="E58" i="28"/>
  <c r="C58" i="28" s="1"/>
  <c r="E57" i="28"/>
  <c r="C57" i="28" s="1"/>
  <c r="E56" i="28"/>
  <c r="C56" i="28" s="1"/>
  <c r="E47" i="28"/>
  <c r="C47" i="28" s="1"/>
  <c r="E46" i="28"/>
  <c r="C46" i="28" s="1"/>
  <c r="E45" i="28"/>
  <c r="C45" i="28" s="1"/>
  <c r="E44" i="28"/>
  <c r="C44" i="28" s="1"/>
  <c r="E43" i="28"/>
  <c r="C43" i="28" s="1"/>
  <c r="E42" i="28"/>
  <c r="C42" i="28" s="1"/>
  <c r="E41" i="28"/>
  <c r="C41" i="28" s="1"/>
  <c r="E40" i="28"/>
  <c r="C40" i="28" s="1"/>
  <c r="E38" i="28"/>
  <c r="C38" i="28" s="1"/>
  <c r="E37" i="28"/>
  <c r="C37" i="28" s="1"/>
  <c r="E36" i="28"/>
  <c r="C36" i="28" s="1"/>
  <c r="E35" i="28"/>
  <c r="C35" i="28" s="1"/>
  <c r="E34" i="28"/>
  <c r="C34" i="28" s="1"/>
  <c r="E33" i="28"/>
  <c r="C33" i="28" s="1"/>
  <c r="E32" i="28"/>
  <c r="C32" i="28" s="1"/>
  <c r="E31" i="28"/>
  <c r="C31" i="28" s="1"/>
  <c r="E30" i="28"/>
  <c r="C30" i="28" s="1"/>
  <c r="E29" i="28"/>
  <c r="C29" i="28" s="1"/>
  <c r="E28" i="28"/>
  <c r="C28" i="28" s="1"/>
  <c r="E18" i="28"/>
  <c r="C18" i="28" s="1"/>
  <c r="E17" i="28"/>
  <c r="C17" i="28" s="1"/>
  <c r="E16" i="28"/>
  <c r="C16" i="28" s="1"/>
  <c r="E15" i="28"/>
  <c r="C15" i="28" s="1"/>
  <c r="E14" i="28"/>
  <c r="C14" i="28" s="1"/>
  <c r="E13" i="28"/>
  <c r="C13" i="28" s="1"/>
  <c r="E11" i="28"/>
  <c r="C11" i="28" s="1"/>
  <c r="E10" i="28"/>
  <c r="C10" i="28" s="1"/>
  <c r="E8" i="28"/>
  <c r="C8" i="28" s="1"/>
  <c r="E7" i="28"/>
  <c r="C7" i="28" s="1"/>
  <c r="E6" i="28"/>
  <c r="C6" i="28" s="1"/>
  <c r="E5" i="28"/>
  <c r="C5" i="28" s="1"/>
  <c r="E2" i="28"/>
  <c r="C2" i="28" s="1"/>
  <c r="F48" i="11"/>
  <c r="G4" i="7" s="1"/>
  <c r="A2" i="7"/>
  <c r="K17" i="26"/>
  <c r="E10" i="26" s="1"/>
  <c r="K18" i="26"/>
  <c r="K19" i="26"/>
  <c r="K20" i="26"/>
  <c r="K21" i="26"/>
  <c r="K22" i="26"/>
  <c r="K23" i="26"/>
  <c r="K24" i="26"/>
  <c r="F15" i="25"/>
  <c r="C48" i="11"/>
  <c r="H20" i="25" s="1"/>
  <c r="F25" i="25"/>
  <c r="F28" i="25" s="1"/>
  <c r="B23" i="25"/>
  <c r="B26" i="25" s="1"/>
  <c r="G3" i="4"/>
  <c r="B45" i="4" s="1"/>
  <c r="B48" i="4" s="1"/>
  <c r="H2" i="4"/>
  <c r="G3" i="1"/>
  <c r="B46" i="1" s="1"/>
  <c r="B49" i="1" s="1"/>
  <c r="H2" i="1"/>
  <c r="J17" i="26"/>
  <c r="J18" i="26" s="1"/>
  <c r="J19" i="26" s="1"/>
  <c r="J20" i="26" s="1"/>
  <c r="J21" i="26" s="1"/>
  <c r="J22" i="26" s="1"/>
  <c r="J23" i="26" s="1"/>
  <c r="J24" i="26" s="1"/>
  <c r="D2" i="26"/>
  <c r="F2" i="26"/>
  <c r="H2" i="26" s="1"/>
  <c r="J2" i="26" s="1"/>
  <c r="B16" i="26" s="1"/>
  <c r="D16" i="26" s="1"/>
  <c r="F16" i="26" s="1"/>
  <c r="H16" i="26" s="1"/>
  <c r="A59" i="11"/>
  <c r="A60" i="11" s="1"/>
  <c r="A61" i="11" s="1"/>
  <c r="A62" i="11" s="1"/>
  <c r="B102" i="4" l="1"/>
  <c r="B105" i="4" s="1"/>
  <c r="B57" i="4"/>
  <c r="B60" i="4" s="1"/>
  <c r="B34" i="4"/>
  <c r="B37" i="4" s="1"/>
  <c r="B79" i="4"/>
  <c r="B82" i="4" s="1"/>
  <c r="B68" i="4"/>
  <c r="B71" i="4" s="1"/>
  <c r="C59" i="11"/>
  <c r="C60" i="11" s="1"/>
  <c r="C61" i="11" s="1"/>
  <c r="C62" i="11" s="1"/>
  <c r="B113" i="4"/>
  <c r="B116" i="4" s="1"/>
  <c r="B12" i="4"/>
  <c r="B15" i="4" s="1"/>
  <c r="B23" i="4"/>
  <c r="B26" i="4" s="1"/>
  <c r="B135" i="4"/>
  <c r="B138" i="4" s="1"/>
  <c r="B124" i="4"/>
  <c r="B127" i="4" s="1"/>
  <c r="B90" i="4"/>
  <c r="B93" i="4" s="1"/>
  <c r="B74" i="1"/>
  <c r="B77" i="1" s="1"/>
  <c r="B110" i="1"/>
  <c r="B113" i="1" s="1"/>
  <c r="D11" i="26"/>
  <c r="F11" i="26" s="1"/>
  <c r="H11" i="26" s="1"/>
  <c r="J11" i="26" s="1"/>
  <c r="B25" i="26" s="1"/>
  <c r="D25" i="26" s="1"/>
  <c r="F25" i="26" s="1"/>
  <c r="H25" i="26" s="1"/>
  <c r="B12" i="27" s="1"/>
  <c r="B37" i="1"/>
  <c r="B40" i="1" s="1"/>
  <c r="B65" i="1"/>
  <c r="B68" i="1" s="1"/>
  <c r="B101" i="1"/>
  <c r="B104" i="1" s="1"/>
  <c r="G3" i="7"/>
  <c r="D20" i="25"/>
  <c r="D22" i="25" s="1"/>
  <c r="D28" i="25" s="1"/>
  <c r="H24" i="25"/>
  <c r="H23" i="25" s="1"/>
  <c r="H22" i="25"/>
  <c r="H21" i="25" s="1"/>
  <c r="B55" i="1"/>
  <c r="B58" i="1" s="1"/>
  <c r="B19" i="1"/>
  <c r="B22" i="1" s="1"/>
  <c r="B28" i="1"/>
  <c r="B31" i="1" s="1"/>
  <c r="B83" i="1"/>
  <c r="B86" i="1" s="1"/>
  <c r="B10" i="1"/>
  <c r="B13" i="1" s="1"/>
  <c r="B92" i="1"/>
  <c r="B95" i="1" s="1"/>
  <c r="E9" i="26"/>
  <c r="G9" i="26" s="1"/>
  <c r="I9" i="26" s="1"/>
  <c r="K9" i="26" s="1"/>
  <c r="C23" i="26" s="1"/>
  <c r="E23" i="26" s="1"/>
  <c r="G23" i="26" s="1"/>
  <c r="I23" i="26" s="1"/>
  <c r="D5" i="26"/>
  <c r="F5" i="26" s="1"/>
  <c r="H5" i="26" s="1"/>
  <c r="J5" i="26" s="1"/>
  <c r="B19" i="26" s="1"/>
  <c r="D19" i="26" s="1"/>
  <c r="F19" i="26" s="1"/>
  <c r="H19" i="26" s="1"/>
  <c r="B6" i="27" s="1"/>
  <c r="E4" i="26"/>
  <c r="G4" i="26" s="1"/>
  <c r="I4" i="26" s="1"/>
  <c r="K4" i="26" s="1"/>
  <c r="C18" i="26" s="1"/>
  <c r="E18" i="26" s="1"/>
  <c r="G18" i="26" s="1"/>
  <c r="I18" i="26" s="1"/>
  <c r="D14" i="26"/>
  <c r="F14" i="26" s="1"/>
  <c r="H14" i="26" s="1"/>
  <c r="J14" i="26" s="1"/>
  <c r="B28" i="26" s="1"/>
  <c r="D28" i="26" s="1"/>
  <c r="F28" i="26" s="1"/>
  <c r="H28" i="26" s="1"/>
  <c r="B15" i="27" s="1"/>
  <c r="D7" i="26"/>
  <c r="F7" i="26" s="1"/>
  <c r="H7" i="26" s="1"/>
  <c r="J7" i="26" s="1"/>
  <c r="B21" i="26" s="1"/>
  <c r="D21" i="26" s="1"/>
  <c r="F21" i="26" s="1"/>
  <c r="H21" i="26" s="1"/>
  <c r="B8" i="27" s="1"/>
  <c r="D13" i="26"/>
  <c r="F13" i="26" s="1"/>
  <c r="H13" i="26" s="1"/>
  <c r="J13" i="26" s="1"/>
  <c r="B27" i="26" s="1"/>
  <c r="D27" i="26" s="1"/>
  <c r="F27" i="26" s="1"/>
  <c r="H27" i="26" s="1"/>
  <c r="B14" i="27" s="1"/>
  <c r="D8" i="26"/>
  <c r="E7" i="26"/>
  <c r="G7" i="26" s="1"/>
  <c r="I7" i="26" s="1"/>
  <c r="K7" i="26" s="1"/>
  <c r="C21" i="26" s="1"/>
  <c r="E21" i="26" s="1"/>
  <c r="G21" i="26" s="1"/>
  <c r="I21" i="26" s="1"/>
  <c r="E8" i="26"/>
  <c r="G8" i="26" s="1"/>
  <c r="I8" i="26" s="1"/>
  <c r="K8" i="26" s="1"/>
  <c r="C22" i="26" s="1"/>
  <c r="E22" i="26" s="1"/>
  <c r="G22" i="26" s="1"/>
  <c r="I22" i="26" s="1"/>
  <c r="E13" i="26"/>
  <c r="G13" i="26" s="1"/>
  <c r="I13" i="26" s="1"/>
  <c r="K13" i="26" s="1"/>
  <c r="C27" i="26" s="1"/>
  <c r="E27" i="26" s="1"/>
  <c r="G27" i="26" s="1"/>
  <c r="I27" i="26" s="1"/>
  <c r="D12" i="26"/>
  <c r="F12" i="26" s="1"/>
  <c r="H12" i="26" s="1"/>
  <c r="J12" i="26" s="1"/>
  <c r="B26" i="26" s="1"/>
  <c r="D26" i="26" s="1"/>
  <c r="F26" i="26" s="1"/>
  <c r="H26" i="26" s="1"/>
  <c r="B13" i="27" s="1"/>
  <c r="E11" i="26"/>
  <c r="G11" i="26" s="1"/>
  <c r="I11" i="26" s="1"/>
  <c r="K11" i="26" s="1"/>
  <c r="C25" i="26" s="1"/>
  <c r="E25" i="26" s="1"/>
  <c r="G25" i="26" s="1"/>
  <c r="I25" i="26" s="1"/>
  <c r="E14" i="26"/>
  <c r="G14" i="26" s="1"/>
  <c r="I14" i="26" s="1"/>
  <c r="K14" i="26" s="1"/>
  <c r="C28" i="26" s="1"/>
  <c r="E28" i="26" s="1"/>
  <c r="G28" i="26" s="1"/>
  <c r="I28" i="26" s="1"/>
  <c r="D4" i="26"/>
  <c r="F4" i="26" s="1"/>
  <c r="H4" i="26" s="1"/>
  <c r="J4" i="26" s="1"/>
  <c r="B18" i="26" s="1"/>
  <c r="D18" i="26" s="1"/>
  <c r="F18" i="26" s="1"/>
  <c r="H18" i="26" s="1"/>
  <c r="B5" i="27" s="1"/>
  <c r="E5" i="26"/>
  <c r="G5" i="26" s="1"/>
  <c r="I5" i="26" s="1"/>
  <c r="K5" i="26" s="1"/>
  <c r="C19" i="26" s="1"/>
  <c r="E19" i="26" s="1"/>
  <c r="G19" i="26" s="1"/>
  <c r="I19" i="26" s="1"/>
  <c r="D6" i="26"/>
  <c r="F6" i="26" s="1"/>
  <c r="H6" i="26" s="1"/>
  <c r="J6" i="26" s="1"/>
  <c r="B20" i="26" s="1"/>
  <c r="D20" i="26" s="1"/>
  <c r="F20" i="26" s="1"/>
  <c r="H20" i="26" s="1"/>
  <c r="B7" i="27" s="1"/>
  <c r="E6" i="26"/>
  <c r="G6" i="26" s="1"/>
  <c r="I6" i="26" s="1"/>
  <c r="K6" i="26" s="1"/>
  <c r="C20" i="26" s="1"/>
  <c r="E20" i="26" s="1"/>
  <c r="G20" i="26" s="1"/>
  <c r="I20" i="26" s="1"/>
  <c r="D3" i="26"/>
  <c r="F3" i="26" s="1"/>
  <c r="H3" i="26" s="1"/>
  <c r="J3" i="26" s="1"/>
  <c r="B17" i="26" s="1"/>
  <c r="D17" i="26" s="1"/>
  <c r="F17" i="26" s="1"/>
  <c r="H17" i="26" s="1"/>
  <c r="B4" i="27" s="1"/>
  <c r="E3" i="26"/>
  <c r="G3" i="26" s="1"/>
  <c r="I3" i="26" s="1"/>
  <c r="K3" i="26" s="1"/>
  <c r="C17" i="26" s="1"/>
  <c r="E17" i="26" s="1"/>
  <c r="G17" i="26" s="1"/>
  <c r="I17" i="26" s="1"/>
  <c r="D10" i="26"/>
  <c r="F10" i="26" s="1"/>
  <c r="H10" i="26" s="1"/>
  <c r="J10" i="26" s="1"/>
  <c r="B24" i="26" s="1"/>
  <c r="D24" i="26" s="1"/>
  <c r="F24" i="26" s="1"/>
  <c r="H24" i="26" s="1"/>
  <c r="B11" i="27" s="1"/>
  <c r="D9" i="26"/>
  <c r="F9" i="26" s="1"/>
  <c r="H9" i="26" s="1"/>
  <c r="J9" i="26" s="1"/>
  <c r="B23" i="26" s="1"/>
  <c r="D23" i="26" s="1"/>
  <c r="F23" i="26" s="1"/>
  <c r="H23" i="26" s="1"/>
  <c r="B10" i="27" s="1"/>
  <c r="E12" i="26"/>
  <c r="G12" i="26" s="1"/>
  <c r="I12" i="26" s="1"/>
  <c r="K12" i="26" s="1"/>
  <c r="C26" i="26" s="1"/>
  <c r="E26" i="26" s="1"/>
  <c r="G26" i="26" s="1"/>
  <c r="I26" i="26" s="1"/>
  <c r="F8" i="26"/>
  <c r="H8" i="26" s="1"/>
  <c r="J8" i="26" s="1"/>
  <c r="B22" i="26" s="1"/>
  <c r="D22" i="26" s="1"/>
  <c r="F22" i="26" s="1"/>
  <c r="H22" i="26" s="1"/>
  <c r="B9" i="27" s="1"/>
  <c r="G10" i="26"/>
  <c r="I10" i="26" s="1"/>
  <c r="K10" i="26" s="1"/>
  <c r="C24" i="26" s="1"/>
  <c r="E24" i="26" s="1"/>
  <c r="G24" i="26" s="1"/>
  <c r="I24" i="26" s="1"/>
  <c r="A21" i="11"/>
  <c r="D1" i="7"/>
  <c r="E5" i="7" s="1"/>
  <c r="E1" i="4"/>
  <c r="F4" i="4" s="1"/>
  <c r="B14" i="7" l="1"/>
  <c r="D52" i="1" s="1"/>
  <c r="D54" i="1" s="1"/>
  <c r="B9" i="7"/>
  <c r="D7" i="1" s="1"/>
  <c r="D9" i="1" s="1"/>
  <c r="B10" i="7"/>
  <c r="D16" i="1" s="1"/>
  <c r="D18" i="1" s="1"/>
  <c r="B19" i="7"/>
  <c r="D98" i="1" s="1"/>
  <c r="D100" i="1" s="1"/>
  <c r="B11" i="7"/>
  <c r="D29" i="4" s="1"/>
  <c r="D33" i="4" s="1"/>
  <c r="B15" i="7"/>
  <c r="D74" i="4" s="1"/>
  <c r="B13" i="7"/>
  <c r="D52" i="4" s="1"/>
  <c r="B17" i="7"/>
  <c r="D80" i="1" s="1"/>
  <c r="D82" i="1" s="1"/>
  <c r="B20" i="7"/>
  <c r="D130" i="4" s="1"/>
  <c r="D25" i="25"/>
  <c r="D21" i="25"/>
  <c r="H27" i="25"/>
  <c r="H30" i="25"/>
  <c r="C13" i="27"/>
  <c r="D13" i="27" s="1"/>
  <c r="E13" i="27" s="1"/>
  <c r="C4" i="27"/>
  <c r="D4" i="27" s="1"/>
  <c r="C7" i="27"/>
  <c r="C12" i="7" s="1"/>
  <c r="C15" i="27"/>
  <c r="C20" i="7" s="1"/>
  <c r="B18" i="7"/>
  <c r="D108" i="4" s="1"/>
  <c r="B12" i="7"/>
  <c r="D34" i="1" s="1"/>
  <c r="D36" i="1" s="1"/>
  <c r="C6" i="27"/>
  <c r="C11" i="7" s="1"/>
  <c r="C10" i="27"/>
  <c r="D10" i="27" s="1"/>
  <c r="C11" i="27"/>
  <c r="C16" i="7" s="1"/>
  <c r="C9" i="27"/>
  <c r="D9" i="27" s="1"/>
  <c r="C14" i="27"/>
  <c r="C19" i="7" s="1"/>
  <c r="C5" i="27"/>
  <c r="C10" i="7" s="1"/>
  <c r="C12" i="27"/>
  <c r="D12" i="27" s="1"/>
  <c r="B16" i="7"/>
  <c r="D85" i="4" s="1"/>
  <c r="C8" i="27"/>
  <c r="C13" i="7" s="1"/>
  <c r="D63" i="4" l="1"/>
  <c r="D65" i="4" s="1"/>
  <c r="D18" i="7"/>
  <c r="F89" i="1" s="1"/>
  <c r="F91" i="1" s="1"/>
  <c r="D43" i="1"/>
  <c r="D45" i="1" s="1"/>
  <c r="D48" i="1" s="1"/>
  <c r="D18" i="4"/>
  <c r="D22" i="4" s="1"/>
  <c r="D62" i="1"/>
  <c r="D64" i="1" s="1"/>
  <c r="D70" i="1" s="1"/>
  <c r="D119" i="4"/>
  <c r="D121" i="4" s="1"/>
  <c r="D97" i="4"/>
  <c r="D101" i="4" s="1"/>
  <c r="D31" i="4"/>
  <c r="D39" i="4" s="1"/>
  <c r="D7" i="4"/>
  <c r="D9" i="4" s="1"/>
  <c r="D107" i="1"/>
  <c r="D109" i="1" s="1"/>
  <c r="D108" i="1" s="1"/>
  <c r="D25" i="1"/>
  <c r="D27" i="1" s="1"/>
  <c r="D30" i="1" s="1"/>
  <c r="D8" i="27"/>
  <c r="E8" i="27" s="1"/>
  <c r="D5" i="27"/>
  <c r="E5" i="27" s="1"/>
  <c r="D89" i="1"/>
  <c r="D91" i="1" s="1"/>
  <c r="D97" i="1" s="1"/>
  <c r="D15" i="27"/>
  <c r="E15" i="27" s="1"/>
  <c r="D11" i="27"/>
  <c r="E11" i="27" s="1"/>
  <c r="C9" i="7"/>
  <c r="E7" i="1" s="1"/>
  <c r="E9" i="1" s="1"/>
  <c r="D7" i="27"/>
  <c r="E7" i="27" s="1"/>
  <c r="C18" i="7"/>
  <c r="E89" i="1" s="1"/>
  <c r="E91" i="1" s="1"/>
  <c r="E94" i="1" s="1"/>
  <c r="D40" i="4"/>
  <c r="D42" i="4" s="1"/>
  <c r="D14" i="27"/>
  <c r="D19" i="7" s="1"/>
  <c r="D71" i="1"/>
  <c r="G122" i="1" s="1"/>
  <c r="C14" i="7"/>
  <c r="E52" i="1" s="1"/>
  <c r="E54" i="1" s="1"/>
  <c r="D6" i="27"/>
  <c r="D11" i="7" s="1"/>
  <c r="C17" i="7"/>
  <c r="E97" i="4" s="1"/>
  <c r="C15" i="7"/>
  <c r="E62" i="1" s="1"/>
  <c r="E64" i="1" s="1"/>
  <c r="D32" i="4"/>
  <c r="D110" i="4"/>
  <c r="D112" i="4"/>
  <c r="E18" i="7"/>
  <c r="F13" i="27"/>
  <c r="D134" i="4"/>
  <c r="D132" i="4"/>
  <c r="D14" i="7"/>
  <c r="E9" i="27"/>
  <c r="D42" i="1"/>
  <c r="D35" i="1"/>
  <c r="D39" i="1"/>
  <c r="D78" i="4"/>
  <c r="D76" i="4"/>
  <c r="E71" i="1"/>
  <c r="E73" i="1" s="1"/>
  <c r="E85" i="4"/>
  <c r="D53" i="1"/>
  <c r="D60" i="1"/>
  <c r="D57" i="1"/>
  <c r="E98" i="1"/>
  <c r="E100" i="1" s="1"/>
  <c r="E119" i="4"/>
  <c r="D12" i="1"/>
  <c r="D15" i="1"/>
  <c r="D8" i="1"/>
  <c r="D89" i="4"/>
  <c r="G149" i="4"/>
  <c r="D35" i="4" s="1"/>
  <c r="D34" i="4" s="1"/>
  <c r="D87" i="4"/>
  <c r="E40" i="4"/>
  <c r="E34" i="1"/>
  <c r="E36" i="1" s="1"/>
  <c r="E10" i="27"/>
  <c r="D15" i="7"/>
  <c r="D56" i="4"/>
  <c r="D54" i="4"/>
  <c r="D21" i="1"/>
  <c r="D24" i="1"/>
  <c r="D17" i="1"/>
  <c r="E4" i="27"/>
  <c r="D9" i="7"/>
  <c r="E130" i="4"/>
  <c r="E107" i="1"/>
  <c r="E109" i="1" s="1"/>
  <c r="E29" i="4"/>
  <c r="E25" i="1"/>
  <c r="E27" i="1" s="1"/>
  <c r="D17" i="7"/>
  <c r="E12" i="27"/>
  <c r="E18" i="4"/>
  <c r="E16" i="1"/>
  <c r="E18" i="1" s="1"/>
  <c r="D85" i="1"/>
  <c r="D81" i="1"/>
  <c r="D88" i="1"/>
  <c r="E43" i="1"/>
  <c r="E45" i="1" s="1"/>
  <c r="E52" i="4"/>
  <c r="D99" i="1"/>
  <c r="D103" i="1"/>
  <c r="D106" i="1"/>
  <c r="D67" i="4" l="1"/>
  <c r="D70" i="4" s="1"/>
  <c r="F108" i="4"/>
  <c r="F112" i="4" s="1"/>
  <c r="D10" i="7"/>
  <c r="F18" i="4" s="1"/>
  <c r="D13" i="7"/>
  <c r="F43" i="1" s="1"/>
  <c r="F45" i="1" s="1"/>
  <c r="D51" i="1"/>
  <c r="D44" i="1"/>
  <c r="D20" i="4"/>
  <c r="D25" i="4" s="1"/>
  <c r="D123" i="4"/>
  <c r="D126" i="4" s="1"/>
  <c r="D99" i="4"/>
  <c r="D104" i="4" s="1"/>
  <c r="D115" i="1"/>
  <c r="D11" i="4"/>
  <c r="D10" i="4" s="1"/>
  <c r="D67" i="1"/>
  <c r="D63" i="1"/>
  <c r="D36" i="4"/>
  <c r="D30" i="4"/>
  <c r="D112" i="1"/>
  <c r="D33" i="1"/>
  <c r="D26" i="1"/>
  <c r="E14" i="27"/>
  <c r="F14" i="27" s="1"/>
  <c r="D90" i="1"/>
  <c r="E7" i="4"/>
  <c r="E11" i="4" s="1"/>
  <c r="D16" i="7"/>
  <c r="F85" i="4" s="1"/>
  <c r="D94" i="1"/>
  <c r="D12" i="7"/>
  <c r="F34" i="1" s="1"/>
  <c r="F36" i="1" s="1"/>
  <c r="D20" i="7"/>
  <c r="F130" i="4" s="1"/>
  <c r="E97" i="1"/>
  <c r="E93" i="1"/>
  <c r="E92" i="1" s="1"/>
  <c r="D44" i="4"/>
  <c r="D47" i="4" s="1"/>
  <c r="E90" i="1"/>
  <c r="E108" i="4"/>
  <c r="E110" i="4" s="1"/>
  <c r="E109" i="4" s="1"/>
  <c r="D73" i="1"/>
  <c r="D75" i="1" s="1"/>
  <c r="D74" i="1" s="1"/>
  <c r="E63" i="4"/>
  <c r="E65" i="4" s="1"/>
  <c r="E74" i="4"/>
  <c r="E76" i="4" s="1"/>
  <c r="E6" i="27"/>
  <c r="E11" i="7" s="1"/>
  <c r="E80" i="1"/>
  <c r="E82" i="1" s="1"/>
  <c r="E88" i="1" s="1"/>
  <c r="D56" i="1"/>
  <c r="D55" i="1" s="1"/>
  <c r="D58" i="1" s="1"/>
  <c r="D59" i="1" s="1"/>
  <c r="D38" i="1"/>
  <c r="D37" i="1" s="1"/>
  <c r="D40" i="1" s="1"/>
  <c r="D41" i="1" s="1"/>
  <c r="D84" i="1"/>
  <c r="D83" i="1" s="1"/>
  <c r="D86" i="1" s="1"/>
  <c r="D87" i="1" s="1"/>
  <c r="D11" i="1"/>
  <c r="D10" i="1" s="1"/>
  <c r="D13" i="1" s="1"/>
  <c r="D14" i="1" s="1"/>
  <c r="D102" i="1"/>
  <c r="D101" i="1" s="1"/>
  <c r="D104" i="1" s="1"/>
  <c r="D105" i="1" s="1"/>
  <c r="D93" i="1"/>
  <c r="D92" i="1" s="1"/>
  <c r="D66" i="1"/>
  <c r="D65" i="1" s="1"/>
  <c r="D47" i="1"/>
  <c r="D46" i="1" s="1"/>
  <c r="D20" i="1"/>
  <c r="D19" i="1" s="1"/>
  <c r="D22" i="1" s="1"/>
  <c r="D23" i="1" s="1"/>
  <c r="F90" i="1"/>
  <c r="F93" i="1"/>
  <c r="F92" i="1" s="1"/>
  <c r="F97" i="1"/>
  <c r="F94" i="1"/>
  <c r="E17" i="1"/>
  <c r="E21" i="1"/>
  <c r="E24" i="1"/>
  <c r="E20" i="1"/>
  <c r="E19" i="1" s="1"/>
  <c r="E30" i="1"/>
  <c r="E33" i="1"/>
  <c r="E26" i="1"/>
  <c r="E29" i="1"/>
  <c r="E28" i="1" s="1"/>
  <c r="E9" i="7"/>
  <c r="F4" i="27"/>
  <c r="E99" i="4"/>
  <c r="E101" i="4"/>
  <c r="D55" i="4"/>
  <c r="D58" i="4"/>
  <c r="D57" i="4" s="1"/>
  <c r="E15" i="7"/>
  <c r="F10" i="27"/>
  <c r="F11" i="27"/>
  <c r="E16" i="7"/>
  <c r="E70" i="1"/>
  <c r="E66" i="1"/>
  <c r="E65" i="1" s="1"/>
  <c r="E63" i="1"/>
  <c r="E67" i="1"/>
  <c r="E89" i="4"/>
  <c r="E87" i="4"/>
  <c r="E14" i="7"/>
  <c r="F9" i="27"/>
  <c r="D137" i="4"/>
  <c r="D131" i="4"/>
  <c r="D140" i="4"/>
  <c r="D111" i="4"/>
  <c r="D114" i="4"/>
  <c r="D113" i="4" s="1"/>
  <c r="E48" i="1"/>
  <c r="E51" i="1"/>
  <c r="E47" i="1"/>
  <c r="E46" i="1" s="1"/>
  <c r="E44" i="1"/>
  <c r="E20" i="4"/>
  <c r="E22" i="4"/>
  <c r="E33" i="4"/>
  <c r="E31" i="4"/>
  <c r="E108" i="1"/>
  <c r="E112" i="1"/>
  <c r="E115" i="1"/>
  <c r="E111" i="1"/>
  <c r="E110" i="1" s="1"/>
  <c r="D120" i="4"/>
  <c r="D73" i="4"/>
  <c r="D64" i="4"/>
  <c r="E42" i="1"/>
  <c r="E35" i="1"/>
  <c r="E39" i="1"/>
  <c r="E38" i="1"/>
  <c r="E37" i="1" s="1"/>
  <c r="D41" i="4"/>
  <c r="D91" i="4"/>
  <c r="D90" i="4" s="1"/>
  <c r="D88" i="4"/>
  <c r="E57" i="1"/>
  <c r="E60" i="1"/>
  <c r="E53" i="1"/>
  <c r="E56" i="1"/>
  <c r="E55" i="1" s="1"/>
  <c r="E76" i="1"/>
  <c r="E72" i="1"/>
  <c r="E75" i="1"/>
  <c r="E74" i="1" s="1"/>
  <c r="E79" i="1"/>
  <c r="H26" i="25"/>
  <c r="H25" i="25" s="1"/>
  <c r="H28" i="25" s="1"/>
  <c r="H29" i="25" s="1"/>
  <c r="D24" i="25"/>
  <c r="D23" i="25" s="1"/>
  <c r="D26" i="25" s="1"/>
  <c r="D27" i="25" s="1"/>
  <c r="D29" i="1"/>
  <c r="D28" i="1" s="1"/>
  <c r="F63" i="4"/>
  <c r="F52" i="1"/>
  <c r="F54" i="1" s="1"/>
  <c r="D133" i="4"/>
  <c r="D136" i="4"/>
  <c r="D135" i="4" s="1"/>
  <c r="E13" i="7"/>
  <c r="F8" i="27"/>
  <c r="D118" i="4"/>
  <c r="D115" i="4"/>
  <c r="D109" i="4"/>
  <c r="F29" i="4"/>
  <c r="F25" i="1"/>
  <c r="F27" i="1" s="1"/>
  <c r="D111" i="1"/>
  <c r="D110" i="1" s="1"/>
  <c r="E54" i="4"/>
  <c r="E56" i="4"/>
  <c r="E15" i="1"/>
  <c r="E12" i="1"/>
  <c r="E8" i="1"/>
  <c r="E11" i="1"/>
  <c r="E10" i="1" s="1"/>
  <c r="E17" i="7"/>
  <c r="F12" i="27"/>
  <c r="E132" i="4"/>
  <c r="E134" i="4"/>
  <c r="F15" i="27"/>
  <c r="E20" i="7"/>
  <c r="D66" i="4"/>
  <c r="E44" i="4"/>
  <c r="E42" i="4"/>
  <c r="E123" i="4"/>
  <c r="E121" i="4"/>
  <c r="E12" i="7"/>
  <c r="F7" i="27"/>
  <c r="D84" i="4"/>
  <c r="D75" i="4"/>
  <c r="D81" i="4"/>
  <c r="D8" i="4"/>
  <c r="F119" i="4"/>
  <c r="F98" i="1"/>
  <c r="F100" i="1" s="1"/>
  <c r="G13" i="27"/>
  <c r="F18" i="7"/>
  <c r="D103" i="4"/>
  <c r="D102" i="4" s="1"/>
  <c r="D100" i="4"/>
  <c r="E10" i="7"/>
  <c r="F5" i="27"/>
  <c r="F110" i="4"/>
  <c r="D21" i="4"/>
  <c r="D24" i="4"/>
  <c r="D23" i="4" s="1"/>
  <c r="F80" i="1"/>
  <c r="F82" i="1" s="1"/>
  <c r="F97" i="4"/>
  <c r="F7" i="1"/>
  <c r="F9" i="1" s="1"/>
  <c r="F7" i="4"/>
  <c r="D62" i="4"/>
  <c r="D53" i="4"/>
  <c r="D59" i="4"/>
  <c r="F74" i="4"/>
  <c r="F62" i="1"/>
  <c r="F64" i="1" s="1"/>
  <c r="D86" i="4"/>
  <c r="D92" i="4"/>
  <c r="D95" i="4"/>
  <c r="E103" i="1"/>
  <c r="E106" i="1"/>
  <c r="E102" i="1"/>
  <c r="E101" i="1" s="1"/>
  <c r="E99" i="1"/>
  <c r="D77" i="4"/>
  <c r="D80" i="4"/>
  <c r="D79" i="4" s="1"/>
  <c r="G108" i="4"/>
  <c r="G89" i="1"/>
  <c r="G91" i="1" s="1"/>
  <c r="D69" i="4" l="1"/>
  <c r="D68" i="4" s="1"/>
  <c r="D71" i="4" s="1"/>
  <c r="D72" i="4" s="1"/>
  <c r="F16" i="1"/>
  <c r="F18" i="1" s="1"/>
  <c r="F21" i="1" s="1"/>
  <c r="E19" i="7"/>
  <c r="G119" i="4" s="1"/>
  <c r="F52" i="4"/>
  <c r="F54" i="4" s="1"/>
  <c r="D49" i="1"/>
  <c r="D50" i="1" s="1"/>
  <c r="D19" i="4"/>
  <c r="D26" i="4" s="1"/>
  <c r="D27" i="4" s="1"/>
  <c r="D28" i="4"/>
  <c r="D125" i="4"/>
  <c r="D124" i="4" s="1"/>
  <c r="D129" i="4"/>
  <c r="D107" i="4"/>
  <c r="D122" i="4"/>
  <c r="D98" i="4"/>
  <c r="D105" i="4" s="1"/>
  <c r="D106" i="4" s="1"/>
  <c r="E9" i="4"/>
  <c r="E14" i="4" s="1"/>
  <c r="E67" i="4"/>
  <c r="E70" i="4" s="1"/>
  <c r="D37" i="4"/>
  <c r="D38" i="4" s="1"/>
  <c r="D13" i="4"/>
  <c r="D12" i="4" s="1"/>
  <c r="D14" i="4"/>
  <c r="D76" i="1"/>
  <c r="D17" i="4"/>
  <c r="D68" i="1"/>
  <c r="D69" i="1" s="1"/>
  <c r="D113" i="1"/>
  <c r="D114" i="1" s="1"/>
  <c r="D31" i="1"/>
  <c r="D32" i="1" s="1"/>
  <c r="F40" i="4"/>
  <c r="F44" i="4" s="1"/>
  <c r="F71" i="1"/>
  <c r="F73" i="1" s="1"/>
  <c r="F76" i="1" s="1"/>
  <c r="D95" i="1"/>
  <c r="D96" i="1" s="1"/>
  <c r="E95" i="1"/>
  <c r="E96" i="1" s="1"/>
  <c r="E81" i="1"/>
  <c r="E78" i="4"/>
  <c r="E84" i="4" s="1"/>
  <c r="F107" i="1"/>
  <c r="F109" i="1" s="1"/>
  <c r="F112" i="1" s="1"/>
  <c r="D46" i="4"/>
  <c r="D45" i="4" s="1"/>
  <c r="D50" i="4"/>
  <c r="D72" i="1"/>
  <c r="D43" i="4"/>
  <c r="D79" i="1"/>
  <c r="E112" i="4"/>
  <c r="E118" i="4" s="1"/>
  <c r="E84" i="1"/>
  <c r="E83" i="1" s="1"/>
  <c r="F6" i="27"/>
  <c r="G6" i="27" s="1"/>
  <c r="E85" i="1"/>
  <c r="E68" i="1"/>
  <c r="E69" i="1" s="1"/>
  <c r="D60" i="4"/>
  <c r="D61" i="4" s="1"/>
  <c r="E40" i="1"/>
  <c r="E41" i="1" s="1"/>
  <c r="G93" i="1"/>
  <c r="G92" i="1" s="1"/>
  <c r="G97" i="1"/>
  <c r="G94" i="1"/>
  <c r="G90" i="1"/>
  <c r="F15" i="1"/>
  <c r="F12" i="1"/>
  <c r="F11" i="1"/>
  <c r="F10" i="1" s="1"/>
  <c r="F8" i="1"/>
  <c r="F10" i="7"/>
  <c r="G5" i="27"/>
  <c r="G40" i="4"/>
  <c r="G34" i="1"/>
  <c r="G36" i="1" s="1"/>
  <c r="G15" i="27"/>
  <c r="F20" i="7"/>
  <c r="E75" i="4"/>
  <c r="E21" i="4"/>
  <c r="E24" i="4"/>
  <c r="E23" i="4" s="1"/>
  <c r="G63" i="4"/>
  <c r="G52" i="1"/>
  <c r="G54" i="1" s="1"/>
  <c r="E107" i="4"/>
  <c r="E104" i="4"/>
  <c r="E98" i="4"/>
  <c r="E104" i="1"/>
  <c r="E105" i="1" s="1"/>
  <c r="F17" i="7"/>
  <c r="G12" i="27"/>
  <c r="E77" i="1"/>
  <c r="E78" i="1" s="1"/>
  <c r="F134" i="4"/>
  <c r="F132" i="4"/>
  <c r="E113" i="1"/>
  <c r="E114" i="1" s="1"/>
  <c r="D138" i="4"/>
  <c r="D139" i="4" s="1"/>
  <c r="E92" i="4"/>
  <c r="E95" i="4"/>
  <c r="E86" i="4"/>
  <c r="E31" i="1"/>
  <c r="E32" i="1" s="1"/>
  <c r="F19" i="7"/>
  <c r="G14" i="27"/>
  <c r="D93" i="4"/>
  <c r="D94" i="4" s="1"/>
  <c r="F78" i="4"/>
  <c r="F76" i="4"/>
  <c r="F85" i="1"/>
  <c r="F88" i="1"/>
  <c r="F84" i="1"/>
  <c r="F83" i="1" s="1"/>
  <c r="F81" i="1"/>
  <c r="F114" i="4"/>
  <c r="F113" i="4" s="1"/>
  <c r="F111" i="4"/>
  <c r="F99" i="1"/>
  <c r="F106" i="1"/>
  <c r="F102" i="1"/>
  <c r="F101" i="1" s="1"/>
  <c r="F103" i="1"/>
  <c r="E125" i="4"/>
  <c r="E124" i="4" s="1"/>
  <c r="E122" i="4"/>
  <c r="G80" i="1"/>
  <c r="G82" i="1" s="1"/>
  <c r="G97" i="4"/>
  <c r="E55" i="4"/>
  <c r="E58" i="4"/>
  <c r="E57" i="4" s="1"/>
  <c r="F33" i="4"/>
  <c r="F31" i="4"/>
  <c r="F13" i="7"/>
  <c r="G8" i="27"/>
  <c r="F56" i="1"/>
  <c r="F55" i="1" s="1"/>
  <c r="F53" i="1"/>
  <c r="F57" i="1"/>
  <c r="F60" i="1"/>
  <c r="E58" i="1"/>
  <c r="E59" i="1" s="1"/>
  <c r="E39" i="4"/>
  <c r="E36" i="4"/>
  <c r="E30" i="4"/>
  <c r="F51" i="1"/>
  <c r="F44" i="1"/>
  <c r="F47" i="1"/>
  <c r="F46" i="1" s="1"/>
  <c r="F48" i="1"/>
  <c r="E91" i="4"/>
  <c r="E90" i="4" s="1"/>
  <c r="E88" i="4"/>
  <c r="F16" i="7"/>
  <c r="G11" i="27"/>
  <c r="G7" i="1"/>
  <c r="G9" i="1" s="1"/>
  <c r="G7" i="4"/>
  <c r="F87" i="4"/>
  <c r="F89" i="4"/>
  <c r="H108" i="4"/>
  <c r="H89" i="1"/>
  <c r="H91" i="1" s="1"/>
  <c r="E46" i="4"/>
  <c r="E45" i="4" s="1"/>
  <c r="E43" i="4"/>
  <c r="E140" i="4"/>
  <c r="E137" i="4"/>
  <c r="E131" i="4"/>
  <c r="G74" i="4"/>
  <c r="G62" i="1"/>
  <c r="G64" i="1" s="1"/>
  <c r="G112" i="4"/>
  <c r="G110" i="4"/>
  <c r="F35" i="1"/>
  <c r="F42" i="1"/>
  <c r="F38" i="1"/>
  <c r="F37" i="1" s="1"/>
  <c r="F39" i="1"/>
  <c r="F67" i="1"/>
  <c r="F66" i="1"/>
  <c r="F65" i="1" s="1"/>
  <c r="F70" i="1"/>
  <c r="F63" i="1"/>
  <c r="F101" i="4"/>
  <c r="F99" i="4"/>
  <c r="G16" i="1"/>
  <c r="G18" i="1" s="1"/>
  <c r="G18" i="4"/>
  <c r="G18" i="7"/>
  <c r="H13" i="27"/>
  <c r="D82" i="4"/>
  <c r="D83" i="4" s="1"/>
  <c r="E129" i="4"/>
  <c r="E120" i="4"/>
  <c r="E126" i="4"/>
  <c r="F26" i="1"/>
  <c r="F33" i="1"/>
  <c r="F30" i="1"/>
  <c r="F29" i="1"/>
  <c r="F28" i="1" s="1"/>
  <c r="E25" i="4"/>
  <c r="E19" i="4"/>
  <c r="E28" i="4"/>
  <c r="G85" i="4"/>
  <c r="G71" i="1"/>
  <c r="G73" i="1" s="1"/>
  <c r="F9" i="7"/>
  <c r="G4" i="27"/>
  <c r="F22" i="4"/>
  <c r="F20" i="4"/>
  <c r="F9" i="4"/>
  <c r="F11" i="4"/>
  <c r="F115" i="4"/>
  <c r="F109" i="4"/>
  <c r="F118" i="4"/>
  <c r="F123" i="4"/>
  <c r="F121" i="4"/>
  <c r="F12" i="7"/>
  <c r="G7" i="27"/>
  <c r="E50" i="4"/>
  <c r="E47" i="4"/>
  <c r="E41" i="4"/>
  <c r="G130" i="4"/>
  <c r="G107" i="1"/>
  <c r="G109" i="1" s="1"/>
  <c r="E133" i="4"/>
  <c r="E136" i="4"/>
  <c r="E135" i="4" s="1"/>
  <c r="E13" i="1"/>
  <c r="E14" i="1" s="1"/>
  <c r="E59" i="4"/>
  <c r="E62" i="4"/>
  <c r="E53" i="4"/>
  <c r="D116" i="4"/>
  <c r="D117" i="4" s="1"/>
  <c r="G43" i="1"/>
  <c r="G45" i="1" s="1"/>
  <c r="G52" i="4"/>
  <c r="F65" i="4"/>
  <c r="F67" i="4"/>
  <c r="E35" i="4"/>
  <c r="E34" i="4" s="1"/>
  <c r="E32" i="4"/>
  <c r="E49" i="1"/>
  <c r="E50" i="1" s="1"/>
  <c r="E10" i="4"/>
  <c r="E13" i="4"/>
  <c r="E12" i="4" s="1"/>
  <c r="G25" i="1"/>
  <c r="G27" i="1" s="1"/>
  <c r="G29" i="4"/>
  <c r="F14" i="7"/>
  <c r="G9" i="27"/>
  <c r="E64" i="4"/>
  <c r="F15" i="7"/>
  <c r="G10" i="27"/>
  <c r="E100" i="4"/>
  <c r="E103" i="4"/>
  <c r="E102" i="4" s="1"/>
  <c r="E22" i="1"/>
  <c r="E23" i="1" s="1"/>
  <c r="F95" i="1"/>
  <c r="F96" i="1" s="1"/>
  <c r="F20" i="1" l="1"/>
  <c r="F19" i="1" s="1"/>
  <c r="F24" i="1"/>
  <c r="F56" i="4"/>
  <c r="F62" i="4" s="1"/>
  <c r="F17" i="1"/>
  <c r="G98" i="1"/>
  <c r="G100" i="1" s="1"/>
  <c r="G102" i="1" s="1"/>
  <c r="G101" i="1" s="1"/>
  <c r="D15" i="4"/>
  <c r="D16" i="4" s="1"/>
  <c r="D127" i="4"/>
  <c r="D128" i="4" s="1"/>
  <c r="E17" i="4"/>
  <c r="E81" i="4"/>
  <c r="E8" i="4"/>
  <c r="E15" i="4" s="1"/>
  <c r="E16" i="4" s="1"/>
  <c r="E73" i="4"/>
  <c r="E69" i="4"/>
  <c r="E68" i="4" s="1"/>
  <c r="E66" i="4"/>
  <c r="D77" i="1"/>
  <c r="D78" i="1" s="1"/>
  <c r="F42" i="4"/>
  <c r="F50" i="4" s="1"/>
  <c r="F72" i="1"/>
  <c r="F75" i="1"/>
  <c r="F74" i="1" s="1"/>
  <c r="E80" i="4"/>
  <c r="E79" i="4" s="1"/>
  <c r="F79" i="1"/>
  <c r="E77" i="4"/>
  <c r="F115" i="1"/>
  <c r="F108" i="1"/>
  <c r="F111" i="1"/>
  <c r="F110" i="1" s="1"/>
  <c r="D48" i="4"/>
  <c r="D49" i="4" s="1"/>
  <c r="F11" i="7"/>
  <c r="H29" i="4" s="1"/>
  <c r="E115" i="4"/>
  <c r="E114" i="4"/>
  <c r="E113" i="4" s="1"/>
  <c r="E111" i="4"/>
  <c r="E86" i="1"/>
  <c r="E87" i="1" s="1"/>
  <c r="E127" i="4"/>
  <c r="E128" i="4" s="1"/>
  <c r="G95" i="1"/>
  <c r="G96" i="1" s="1"/>
  <c r="F31" i="1"/>
  <c r="F32" i="1" s="1"/>
  <c r="F68" i="1"/>
  <c r="F69" i="1" s="1"/>
  <c r="F49" i="1"/>
  <c r="F50" i="1" s="1"/>
  <c r="F59" i="4"/>
  <c r="F53" i="4"/>
  <c r="G132" i="4"/>
  <c r="G134" i="4"/>
  <c r="H74" i="4"/>
  <c r="H62" i="1"/>
  <c r="H64" i="1" s="1"/>
  <c r="G14" i="7"/>
  <c r="H9" i="27"/>
  <c r="G31" i="4"/>
  <c r="G33" i="4"/>
  <c r="G56" i="4"/>
  <c r="G54" i="4"/>
  <c r="F129" i="4"/>
  <c r="F120" i="4"/>
  <c r="F126" i="4"/>
  <c r="G9" i="7"/>
  <c r="H4" i="27"/>
  <c r="I89" i="1"/>
  <c r="I91" i="1" s="1"/>
  <c r="I108" i="4"/>
  <c r="F103" i="4"/>
  <c r="F102" i="4" s="1"/>
  <c r="F100" i="4"/>
  <c r="G67" i="1"/>
  <c r="G63" i="1"/>
  <c r="G66" i="1"/>
  <c r="G65" i="1" s="1"/>
  <c r="G70" i="1"/>
  <c r="F91" i="4"/>
  <c r="F90" i="4" s="1"/>
  <c r="F88" i="4"/>
  <c r="H11" i="27"/>
  <c r="G16" i="7"/>
  <c r="G11" i="7"/>
  <c r="H6" i="27"/>
  <c r="H52" i="4"/>
  <c r="H43" i="1"/>
  <c r="H45" i="1" s="1"/>
  <c r="F104" i="1"/>
  <c r="F105" i="1" s="1"/>
  <c r="F77" i="4"/>
  <c r="F80" i="4"/>
  <c r="F79" i="4" s="1"/>
  <c r="H14" i="27"/>
  <c r="G19" i="7"/>
  <c r="E105" i="4"/>
  <c r="E106" i="4" s="1"/>
  <c r="G44" i="4"/>
  <c r="G42" i="4"/>
  <c r="F13" i="1"/>
  <c r="F14" i="1" s="1"/>
  <c r="H52" i="1"/>
  <c r="H54" i="1" s="1"/>
  <c r="H63" i="4"/>
  <c r="G30" i="1"/>
  <c r="G33" i="1"/>
  <c r="G29" i="1"/>
  <c r="G28" i="1" s="1"/>
  <c r="G26" i="1"/>
  <c r="G51" i="1"/>
  <c r="G48" i="1"/>
  <c r="G47" i="1"/>
  <c r="G46" i="1" s="1"/>
  <c r="G44" i="1"/>
  <c r="G115" i="1"/>
  <c r="G111" i="1"/>
  <c r="G110" i="1" s="1"/>
  <c r="G112" i="1"/>
  <c r="G108" i="1"/>
  <c r="F125" i="4"/>
  <c r="F124" i="4" s="1"/>
  <c r="F122" i="4"/>
  <c r="F10" i="4"/>
  <c r="F13" i="4"/>
  <c r="F12" i="4" s="1"/>
  <c r="G121" i="4"/>
  <c r="G123" i="4"/>
  <c r="H7" i="4"/>
  <c r="H7" i="1"/>
  <c r="H9" i="1" s="1"/>
  <c r="E26" i="4"/>
  <c r="E27" i="4" s="1"/>
  <c r="G20" i="4"/>
  <c r="G22" i="4"/>
  <c r="F40" i="1"/>
  <c r="F41" i="1" s="1"/>
  <c r="G76" i="4"/>
  <c r="G78" i="4"/>
  <c r="E138" i="4"/>
  <c r="E139" i="4" s="1"/>
  <c r="F92" i="4"/>
  <c r="F95" i="4"/>
  <c r="F86" i="4"/>
  <c r="H85" i="4"/>
  <c r="H71" i="1"/>
  <c r="H73" i="1" s="1"/>
  <c r="F58" i="1"/>
  <c r="F59" i="1" s="1"/>
  <c r="F39" i="4"/>
  <c r="F30" i="4"/>
  <c r="F36" i="4"/>
  <c r="G101" i="4"/>
  <c r="G99" i="4"/>
  <c r="H98" i="1"/>
  <c r="H100" i="1" s="1"/>
  <c r="H119" i="4"/>
  <c r="F131" i="4"/>
  <c r="F137" i="4"/>
  <c r="F140" i="4"/>
  <c r="H12" i="27"/>
  <c r="G17" i="7"/>
  <c r="G57" i="1"/>
  <c r="G53" i="1"/>
  <c r="G56" i="1"/>
  <c r="G55" i="1" s="1"/>
  <c r="G60" i="1"/>
  <c r="H130" i="4"/>
  <c r="H107" i="1"/>
  <c r="H109" i="1" s="1"/>
  <c r="F69" i="4"/>
  <c r="F68" i="4" s="1"/>
  <c r="F66" i="4"/>
  <c r="G12" i="7"/>
  <c r="H7" i="27"/>
  <c r="F8" i="4"/>
  <c r="F14" i="4"/>
  <c r="F17" i="4"/>
  <c r="F28" i="4"/>
  <c r="F19" i="4"/>
  <c r="F25" i="4"/>
  <c r="G75" i="1"/>
  <c r="G74" i="1" s="1"/>
  <c r="G79" i="1"/>
  <c r="G76" i="1"/>
  <c r="G72" i="1"/>
  <c r="G17" i="1"/>
  <c r="G24" i="1"/>
  <c r="G20" i="1"/>
  <c r="G19" i="1" s="1"/>
  <c r="G21" i="1"/>
  <c r="G109" i="4"/>
  <c r="G115" i="4"/>
  <c r="G118" i="4"/>
  <c r="H93" i="1"/>
  <c r="H92" i="1" s="1"/>
  <c r="H90" i="1"/>
  <c r="H97" i="1"/>
  <c r="H94" i="1"/>
  <c r="G9" i="4"/>
  <c r="G11" i="4"/>
  <c r="E37" i="4"/>
  <c r="E38" i="4" s="1"/>
  <c r="F32" i="4"/>
  <c r="F35" i="4"/>
  <c r="F34" i="4" s="1"/>
  <c r="G81" i="1"/>
  <c r="G85" i="1"/>
  <c r="G84" i="1"/>
  <c r="G83" i="1" s="1"/>
  <c r="G88" i="1"/>
  <c r="F133" i="4"/>
  <c r="F136" i="4"/>
  <c r="F135" i="4" s="1"/>
  <c r="H80" i="1"/>
  <c r="H82" i="1" s="1"/>
  <c r="H97" i="4"/>
  <c r="G67" i="4"/>
  <c r="G65" i="4"/>
  <c r="H15" i="27"/>
  <c r="G20" i="7"/>
  <c r="H5" i="27"/>
  <c r="G10" i="7"/>
  <c r="G15" i="7"/>
  <c r="H10" i="27"/>
  <c r="F73" i="4"/>
  <c r="F64" i="4"/>
  <c r="F70" i="4"/>
  <c r="E60" i="4"/>
  <c r="E61" i="4" s="1"/>
  <c r="E48" i="4"/>
  <c r="E49" i="4" s="1"/>
  <c r="H40" i="4"/>
  <c r="H34" i="1"/>
  <c r="H36" i="1" s="1"/>
  <c r="F116" i="4"/>
  <c r="F117" i="4" s="1"/>
  <c r="F24" i="4"/>
  <c r="F23" i="4" s="1"/>
  <c r="F21" i="4"/>
  <c r="G87" i="4"/>
  <c r="G89" i="4"/>
  <c r="H18" i="7"/>
  <c r="I13" i="27"/>
  <c r="F107" i="4"/>
  <c r="F104" i="4"/>
  <c r="F98" i="4"/>
  <c r="G114" i="4"/>
  <c r="G113" i="4" s="1"/>
  <c r="G111" i="4"/>
  <c r="H112" i="4"/>
  <c r="H110" i="4"/>
  <c r="G11" i="1"/>
  <c r="G10" i="1" s="1"/>
  <c r="G15" i="1"/>
  <c r="G12" i="1"/>
  <c r="G8" i="1"/>
  <c r="H8" i="27"/>
  <c r="G13" i="7"/>
  <c r="F86" i="1"/>
  <c r="F87" i="1" s="1"/>
  <c r="F75" i="4"/>
  <c r="F84" i="4"/>
  <c r="F81" i="4"/>
  <c r="F43" i="4"/>
  <c r="F46" i="4"/>
  <c r="F45" i="4" s="1"/>
  <c r="E93" i="4"/>
  <c r="E94" i="4" s="1"/>
  <c r="G38" i="1"/>
  <c r="G37" i="1" s="1"/>
  <c r="G42" i="1"/>
  <c r="G39" i="1"/>
  <c r="G35" i="1"/>
  <c r="H18" i="4"/>
  <c r="H16" i="1"/>
  <c r="H18" i="1" s="1"/>
  <c r="F58" i="4" l="1"/>
  <c r="F57" i="4" s="1"/>
  <c r="F55" i="4"/>
  <c r="F22" i="1"/>
  <c r="F23" i="1" s="1"/>
  <c r="G99" i="1"/>
  <c r="G103" i="1"/>
  <c r="G106" i="1"/>
  <c r="F47" i="4"/>
  <c r="E71" i="4"/>
  <c r="E72" i="4" s="1"/>
  <c r="F41" i="4"/>
  <c r="E82" i="4"/>
  <c r="E83" i="4" s="1"/>
  <c r="F77" i="1"/>
  <c r="F78" i="1" s="1"/>
  <c r="F113" i="1"/>
  <c r="F114" i="1" s="1"/>
  <c r="H25" i="1"/>
  <c r="H27" i="1" s="1"/>
  <c r="H30" i="1" s="1"/>
  <c r="E116" i="4"/>
  <c r="E117" i="4" s="1"/>
  <c r="G31" i="1"/>
  <c r="G32" i="1" s="1"/>
  <c r="F82" i="4"/>
  <c r="F83" i="4" s="1"/>
  <c r="G86" i="1"/>
  <c r="G87" i="1" s="1"/>
  <c r="H95" i="1"/>
  <c r="H96" i="1" s="1"/>
  <c r="G22" i="1"/>
  <c r="G23" i="1" s="1"/>
  <c r="G113" i="1"/>
  <c r="G114" i="1" s="1"/>
  <c r="G49" i="1"/>
  <c r="G50" i="1" s="1"/>
  <c r="G40" i="1"/>
  <c r="G41" i="1" s="1"/>
  <c r="F105" i="4"/>
  <c r="F106" i="4" s="1"/>
  <c r="F71" i="4"/>
  <c r="F72" i="4" s="1"/>
  <c r="F15" i="4"/>
  <c r="F16" i="4" s="1"/>
  <c r="G68" i="1"/>
  <c r="G69" i="1" s="1"/>
  <c r="I52" i="4"/>
  <c r="I43" i="1"/>
  <c r="I45" i="1" s="1"/>
  <c r="H114" i="4"/>
  <c r="H113" i="4" s="1"/>
  <c r="H111" i="4"/>
  <c r="J89" i="1"/>
  <c r="J91" i="1" s="1"/>
  <c r="J108" i="4"/>
  <c r="H42" i="4"/>
  <c r="H44" i="4"/>
  <c r="I10" i="27"/>
  <c r="H15" i="7"/>
  <c r="I107" i="1"/>
  <c r="I109" i="1" s="1"/>
  <c r="I130" i="4"/>
  <c r="H99" i="4"/>
  <c r="H101" i="4"/>
  <c r="F26" i="4"/>
  <c r="F27" i="4" s="1"/>
  <c r="H17" i="7"/>
  <c r="I12" i="27"/>
  <c r="H123" i="4"/>
  <c r="H121" i="4"/>
  <c r="F93" i="4"/>
  <c r="F94" i="4" s="1"/>
  <c r="G80" i="4"/>
  <c r="G79" i="4" s="1"/>
  <c r="G77" i="4"/>
  <c r="G25" i="4"/>
  <c r="G19" i="4"/>
  <c r="G28" i="4"/>
  <c r="G125" i="4"/>
  <c r="G124" i="4" s="1"/>
  <c r="G122" i="4"/>
  <c r="I98" i="1"/>
  <c r="I100" i="1" s="1"/>
  <c r="I119" i="4"/>
  <c r="I29" i="4"/>
  <c r="I25" i="1"/>
  <c r="I27" i="1" s="1"/>
  <c r="I110" i="4"/>
  <c r="I112" i="4"/>
  <c r="G55" i="4"/>
  <c r="G58" i="4"/>
  <c r="G57" i="4" s="1"/>
  <c r="I52" i="1"/>
  <c r="I54" i="1" s="1"/>
  <c r="I63" i="4"/>
  <c r="G137" i="4"/>
  <c r="G140" i="4"/>
  <c r="G131" i="4"/>
  <c r="H13" i="7"/>
  <c r="I8" i="27"/>
  <c r="G91" i="4"/>
  <c r="G90" i="4" s="1"/>
  <c r="G88" i="4"/>
  <c r="I74" i="4"/>
  <c r="I62" i="1"/>
  <c r="I64" i="1" s="1"/>
  <c r="I15" i="27"/>
  <c r="H20" i="7"/>
  <c r="H81" i="1"/>
  <c r="H84" i="1"/>
  <c r="H83" i="1" s="1"/>
  <c r="H85" i="1"/>
  <c r="H88" i="1"/>
  <c r="H12" i="7"/>
  <c r="I7" i="27"/>
  <c r="H115" i="1"/>
  <c r="H108" i="1"/>
  <c r="H111" i="1"/>
  <c r="H110" i="1" s="1"/>
  <c r="H112" i="1"/>
  <c r="G58" i="1"/>
  <c r="G59" i="1" s="1"/>
  <c r="H103" i="1"/>
  <c r="H102" i="1"/>
  <c r="H101" i="1" s="1"/>
  <c r="H106" i="1"/>
  <c r="H99" i="1"/>
  <c r="F37" i="4"/>
  <c r="F38" i="4" s="1"/>
  <c r="H33" i="4"/>
  <c r="H31" i="4"/>
  <c r="G84" i="4"/>
  <c r="G75" i="4"/>
  <c r="G81" i="4"/>
  <c r="G120" i="4"/>
  <c r="G129" i="4"/>
  <c r="G126" i="4"/>
  <c r="G41" i="4"/>
  <c r="G47" i="4"/>
  <c r="G50" i="4"/>
  <c r="I14" i="27"/>
  <c r="H19" i="7"/>
  <c r="H44" i="1"/>
  <c r="H48" i="1"/>
  <c r="H51" i="1"/>
  <c r="H47" i="1"/>
  <c r="H46" i="1" s="1"/>
  <c r="I85" i="4"/>
  <c r="I71" i="1"/>
  <c r="I73" i="1" s="1"/>
  <c r="I90" i="1"/>
  <c r="I97" i="1"/>
  <c r="I94" i="1"/>
  <c r="I93" i="1"/>
  <c r="I92" i="1" s="1"/>
  <c r="F127" i="4"/>
  <c r="F128" i="4" s="1"/>
  <c r="G32" i="4"/>
  <c r="G35" i="4"/>
  <c r="G34" i="4" s="1"/>
  <c r="H66" i="1"/>
  <c r="H65" i="1" s="1"/>
  <c r="H70" i="1"/>
  <c r="H63" i="1"/>
  <c r="H67" i="1"/>
  <c r="H24" i="1"/>
  <c r="H21" i="1"/>
  <c r="H20" i="1"/>
  <c r="H19" i="1" s="1"/>
  <c r="H17" i="1"/>
  <c r="G86" i="4"/>
  <c r="G95" i="4"/>
  <c r="G92" i="4"/>
  <c r="I18" i="4"/>
  <c r="I16" i="1"/>
  <c r="I18" i="1" s="1"/>
  <c r="G64" i="4"/>
  <c r="G70" i="4"/>
  <c r="G73" i="4"/>
  <c r="G13" i="4"/>
  <c r="G12" i="4" s="1"/>
  <c r="G10" i="4"/>
  <c r="G116" i="4"/>
  <c r="G117" i="4" s="1"/>
  <c r="I40" i="4"/>
  <c r="I34" i="1"/>
  <c r="I36" i="1" s="1"/>
  <c r="H132" i="4"/>
  <c r="H134" i="4"/>
  <c r="G98" i="4"/>
  <c r="G107" i="4"/>
  <c r="G104" i="4"/>
  <c r="H76" i="1"/>
  <c r="H72" i="1"/>
  <c r="H75" i="1"/>
  <c r="H74" i="1" s="1"/>
  <c r="H79" i="1"/>
  <c r="H12" i="1"/>
  <c r="H8" i="1"/>
  <c r="H15" i="1"/>
  <c r="H11" i="1"/>
  <c r="H10" i="1" s="1"/>
  <c r="H65" i="4"/>
  <c r="H67" i="4"/>
  <c r="G43" i="4"/>
  <c r="G46" i="4"/>
  <c r="G45" i="4" s="1"/>
  <c r="H54" i="4"/>
  <c r="H56" i="4"/>
  <c r="H16" i="7"/>
  <c r="I11" i="27"/>
  <c r="H9" i="7"/>
  <c r="I4" i="27"/>
  <c r="G36" i="4"/>
  <c r="G30" i="4"/>
  <c r="G39" i="4"/>
  <c r="H76" i="4"/>
  <c r="H78" i="4"/>
  <c r="H22" i="4"/>
  <c r="H20" i="4"/>
  <c r="G13" i="1"/>
  <c r="G14" i="1" s="1"/>
  <c r="H109" i="4"/>
  <c r="H115" i="4"/>
  <c r="H118" i="4"/>
  <c r="I18" i="7"/>
  <c r="J13" i="27"/>
  <c r="H39" i="1"/>
  <c r="H35" i="1"/>
  <c r="H42" i="1"/>
  <c r="H38" i="1"/>
  <c r="H37" i="1" s="1"/>
  <c r="I5" i="27"/>
  <c r="H10" i="7"/>
  <c r="G66" i="4"/>
  <c r="G69" i="4"/>
  <c r="G68" i="4" s="1"/>
  <c r="G17" i="4"/>
  <c r="G14" i="4"/>
  <c r="G8" i="4"/>
  <c r="G77" i="1"/>
  <c r="G78" i="1" s="1"/>
  <c r="I80" i="1"/>
  <c r="I82" i="1" s="1"/>
  <c r="I97" i="4"/>
  <c r="F138" i="4"/>
  <c r="F139" i="4" s="1"/>
  <c r="G103" i="4"/>
  <c r="G102" i="4" s="1"/>
  <c r="G100" i="4"/>
  <c r="H87" i="4"/>
  <c r="H89" i="4"/>
  <c r="G24" i="4"/>
  <c r="G23" i="4" s="1"/>
  <c r="G21" i="4"/>
  <c r="H9" i="4"/>
  <c r="H11" i="4"/>
  <c r="H60" i="1"/>
  <c r="H56" i="1"/>
  <c r="H55" i="1" s="1"/>
  <c r="H57" i="1"/>
  <c r="H53" i="1"/>
  <c r="I6" i="27"/>
  <c r="H11" i="7"/>
  <c r="I7" i="4"/>
  <c r="I7" i="1"/>
  <c r="I9" i="1" s="1"/>
  <c r="G59" i="4"/>
  <c r="G53" i="4"/>
  <c r="G62" i="4"/>
  <c r="I9" i="27"/>
  <c r="H14" i="7"/>
  <c r="G133" i="4"/>
  <c r="G136" i="4"/>
  <c r="G135" i="4" s="1"/>
  <c r="F60" i="4" l="1"/>
  <c r="F61" i="4" s="1"/>
  <c r="G104" i="1"/>
  <c r="G105" i="1" s="1"/>
  <c r="F48" i="4"/>
  <c r="F49" i="4" s="1"/>
  <c r="H29" i="1"/>
  <c r="H28" i="1" s="1"/>
  <c r="H26" i="1"/>
  <c r="H33" i="1"/>
  <c r="H40" i="1"/>
  <c r="H41" i="1" s="1"/>
  <c r="H49" i="1"/>
  <c r="H50" i="1" s="1"/>
  <c r="G127" i="4"/>
  <c r="G128" i="4" s="1"/>
  <c r="H86" i="4"/>
  <c r="H92" i="4"/>
  <c r="H95" i="4"/>
  <c r="I99" i="4"/>
  <c r="I101" i="4"/>
  <c r="J18" i="4"/>
  <c r="J16" i="1"/>
  <c r="J18" i="1" s="1"/>
  <c r="H53" i="4"/>
  <c r="H62" i="4"/>
  <c r="H59" i="4"/>
  <c r="I33" i="1"/>
  <c r="I30" i="1"/>
  <c r="I29" i="1"/>
  <c r="I28" i="1" s="1"/>
  <c r="I26" i="1"/>
  <c r="H129" i="4"/>
  <c r="H126" i="4"/>
  <c r="H120" i="4"/>
  <c r="I111" i="1"/>
  <c r="I110" i="1" s="1"/>
  <c r="I108" i="1"/>
  <c r="I115" i="1"/>
  <c r="I112" i="1"/>
  <c r="H47" i="4"/>
  <c r="H41" i="4"/>
  <c r="H50" i="4"/>
  <c r="J5" i="27"/>
  <c r="I10" i="7"/>
  <c r="H24" i="4"/>
  <c r="H23" i="4" s="1"/>
  <c r="H21" i="4"/>
  <c r="I16" i="7"/>
  <c r="J11" i="27"/>
  <c r="H140" i="4"/>
  <c r="H131" i="4"/>
  <c r="H137" i="4"/>
  <c r="H68" i="1"/>
  <c r="H69" i="1" s="1"/>
  <c r="J119" i="4"/>
  <c r="J98" i="1"/>
  <c r="J100" i="1" s="1"/>
  <c r="G48" i="4"/>
  <c r="G49" i="4" s="1"/>
  <c r="H35" i="4"/>
  <c r="H34" i="4" s="1"/>
  <c r="H32" i="4"/>
  <c r="J34" i="1"/>
  <c r="J36" i="1" s="1"/>
  <c r="J40" i="4"/>
  <c r="I67" i="1"/>
  <c r="I63" i="1"/>
  <c r="I66" i="1"/>
  <c r="I65" i="1" s="1"/>
  <c r="I70" i="1"/>
  <c r="I33" i="4"/>
  <c r="I31" i="4"/>
  <c r="H103" i="4"/>
  <c r="H102" i="4" s="1"/>
  <c r="H100" i="4"/>
  <c r="I47" i="1"/>
  <c r="I46" i="1" s="1"/>
  <c r="I48" i="1"/>
  <c r="I44" i="1"/>
  <c r="I51" i="1"/>
  <c r="J52" i="1"/>
  <c r="J54" i="1" s="1"/>
  <c r="J63" i="4"/>
  <c r="I11" i="7"/>
  <c r="J6" i="27"/>
  <c r="I14" i="7"/>
  <c r="J9" i="27"/>
  <c r="I12" i="1"/>
  <c r="I8" i="1"/>
  <c r="I11" i="1"/>
  <c r="I10" i="1" s="1"/>
  <c r="I15" i="1"/>
  <c r="H58" i="1"/>
  <c r="H59" i="1" s="1"/>
  <c r="H10" i="4"/>
  <c r="H13" i="4"/>
  <c r="H12" i="4" s="1"/>
  <c r="H91" i="4"/>
  <c r="H90" i="4" s="1"/>
  <c r="H88" i="4"/>
  <c r="G15" i="4"/>
  <c r="G16" i="4" s="1"/>
  <c r="K108" i="4"/>
  <c r="K89" i="1"/>
  <c r="K91" i="1" s="1"/>
  <c r="H75" i="4"/>
  <c r="H81" i="4"/>
  <c r="H84" i="4"/>
  <c r="I9" i="7"/>
  <c r="J4" i="27"/>
  <c r="H55" i="4"/>
  <c r="H58" i="4"/>
  <c r="H57" i="4" s="1"/>
  <c r="H69" i="4"/>
  <c r="H68" i="4" s="1"/>
  <c r="H66" i="4"/>
  <c r="H13" i="1"/>
  <c r="H14" i="1" s="1"/>
  <c r="H77" i="1"/>
  <c r="H78" i="1" s="1"/>
  <c r="G105" i="4"/>
  <c r="G106" i="4" s="1"/>
  <c r="I42" i="4"/>
  <c r="I44" i="4"/>
  <c r="I20" i="4"/>
  <c r="I22" i="4"/>
  <c r="H22" i="1"/>
  <c r="H23" i="1" s="1"/>
  <c r="I75" i="1"/>
  <c r="I74" i="1" s="1"/>
  <c r="I72" i="1"/>
  <c r="I76" i="1"/>
  <c r="I79" i="1"/>
  <c r="H104" i="1"/>
  <c r="H105" i="1" s="1"/>
  <c r="J130" i="4"/>
  <c r="J107" i="1"/>
  <c r="J109" i="1" s="1"/>
  <c r="G138" i="4"/>
  <c r="G139" i="4" s="1"/>
  <c r="I56" i="1"/>
  <c r="I55" i="1" s="1"/>
  <c r="I60" i="1"/>
  <c r="I53" i="1"/>
  <c r="I57" i="1"/>
  <c r="I118" i="4"/>
  <c r="I115" i="4"/>
  <c r="I109" i="4"/>
  <c r="I102" i="1"/>
  <c r="I101" i="1" s="1"/>
  <c r="I106" i="1"/>
  <c r="I103" i="1"/>
  <c r="I99" i="1"/>
  <c r="G26" i="4"/>
  <c r="G27" i="4" s="1"/>
  <c r="J97" i="4"/>
  <c r="J80" i="1"/>
  <c r="J82" i="1" s="1"/>
  <c r="I132" i="4"/>
  <c r="I134" i="4"/>
  <c r="H46" i="4"/>
  <c r="H45" i="4" s="1"/>
  <c r="H43" i="4"/>
  <c r="I9" i="4"/>
  <c r="I11" i="4"/>
  <c r="H17" i="4"/>
  <c r="H8" i="4"/>
  <c r="H14" i="4"/>
  <c r="H25" i="4"/>
  <c r="H19" i="4"/>
  <c r="H28" i="4"/>
  <c r="J7" i="4"/>
  <c r="J7" i="1"/>
  <c r="J9" i="1" s="1"/>
  <c r="H73" i="4"/>
  <c r="H64" i="4"/>
  <c r="H70" i="4"/>
  <c r="H136" i="4"/>
  <c r="H135" i="4" s="1"/>
  <c r="H133" i="4"/>
  <c r="I87" i="4"/>
  <c r="I89" i="4"/>
  <c r="H30" i="4"/>
  <c r="H36" i="4"/>
  <c r="H39" i="4"/>
  <c r="J7" i="27"/>
  <c r="I12" i="7"/>
  <c r="I20" i="7"/>
  <c r="J15" i="27"/>
  <c r="G60" i="4"/>
  <c r="G61" i="4" s="1"/>
  <c r="J29" i="4"/>
  <c r="J25" i="1"/>
  <c r="J27" i="1" s="1"/>
  <c r="I81" i="1"/>
  <c r="I84" i="1"/>
  <c r="I83" i="1" s="1"/>
  <c r="I88" i="1"/>
  <c r="I85" i="1"/>
  <c r="G37" i="4"/>
  <c r="G38" i="4" s="1"/>
  <c r="G71" i="4"/>
  <c r="G72" i="4" s="1"/>
  <c r="I13" i="7"/>
  <c r="J8" i="27"/>
  <c r="H122" i="4"/>
  <c r="H125" i="4"/>
  <c r="H124" i="4" s="1"/>
  <c r="J74" i="4"/>
  <c r="J62" i="1"/>
  <c r="J64" i="1" s="1"/>
  <c r="J112" i="4"/>
  <c r="J110" i="4"/>
  <c r="K13" i="27"/>
  <c r="K18" i="7" s="1"/>
  <c r="J18" i="7"/>
  <c r="H116" i="4"/>
  <c r="H117" i="4" s="1"/>
  <c r="H77" i="4"/>
  <c r="H80" i="4"/>
  <c r="H79" i="4" s="1"/>
  <c r="J85" i="4"/>
  <c r="J71" i="1"/>
  <c r="J73" i="1" s="1"/>
  <c r="I42" i="1"/>
  <c r="I39" i="1"/>
  <c r="I35" i="1"/>
  <c r="I38" i="1"/>
  <c r="I37" i="1" s="1"/>
  <c r="I17" i="1"/>
  <c r="I21" i="1"/>
  <c r="I20" i="1"/>
  <c r="I19" i="1" s="1"/>
  <c r="I24" i="1"/>
  <c r="G93" i="4"/>
  <c r="G94" i="4" s="1"/>
  <c r="I95" i="1"/>
  <c r="I96" i="1" s="1"/>
  <c r="I19" i="7"/>
  <c r="J14" i="27"/>
  <c r="G82" i="4"/>
  <c r="G83" i="4" s="1"/>
  <c r="H113" i="1"/>
  <c r="H114" i="1" s="1"/>
  <c r="H86" i="1"/>
  <c r="H87" i="1" s="1"/>
  <c r="I76" i="4"/>
  <c r="I78" i="4"/>
  <c r="J43" i="1"/>
  <c r="J45" i="1" s="1"/>
  <c r="J52" i="4"/>
  <c r="I67" i="4"/>
  <c r="I65" i="4"/>
  <c r="I114" i="4"/>
  <c r="I113" i="4" s="1"/>
  <c r="I111" i="4"/>
  <c r="I123" i="4"/>
  <c r="I121" i="4"/>
  <c r="J12" i="27"/>
  <c r="I17" i="7"/>
  <c r="H98" i="4"/>
  <c r="H104" i="4"/>
  <c r="H107" i="4"/>
  <c r="J10" i="27"/>
  <c r="I15" i="7"/>
  <c r="J90" i="1"/>
  <c r="J93" i="1"/>
  <c r="J92" i="1" s="1"/>
  <c r="J94" i="1"/>
  <c r="J97" i="1"/>
  <c r="I54" i="4"/>
  <c r="I56" i="4"/>
  <c r="H31" i="1" l="1"/>
  <c r="H32" i="1" s="1"/>
  <c r="H37" i="4"/>
  <c r="H38" i="4" s="1"/>
  <c r="I86" i="1"/>
  <c r="I87" i="1" s="1"/>
  <c r="H71" i="4"/>
  <c r="H72" i="4" s="1"/>
  <c r="H15" i="4"/>
  <c r="H16" i="4" s="1"/>
  <c r="I77" i="1"/>
  <c r="I78" i="1" s="1"/>
  <c r="I31" i="1"/>
  <c r="I32" i="1" s="1"/>
  <c r="K97" i="4"/>
  <c r="K80" i="1"/>
  <c r="K82" i="1" s="1"/>
  <c r="I125" i="4"/>
  <c r="I124" i="4" s="1"/>
  <c r="I122" i="4"/>
  <c r="I84" i="4"/>
  <c r="I75" i="4"/>
  <c r="I81" i="4"/>
  <c r="J19" i="7"/>
  <c r="K14" i="27"/>
  <c r="K19" i="7" s="1"/>
  <c r="J76" i="1"/>
  <c r="J79" i="1"/>
  <c r="J75" i="1"/>
  <c r="J74" i="1" s="1"/>
  <c r="J72" i="1"/>
  <c r="J111" i="4"/>
  <c r="J114" i="4"/>
  <c r="J113" i="4" s="1"/>
  <c r="I62" i="4"/>
  <c r="I59" i="4"/>
  <c r="I53" i="4"/>
  <c r="J95" i="1"/>
  <c r="J96" i="1" s="1"/>
  <c r="J51" i="1"/>
  <c r="J44" i="1"/>
  <c r="J47" i="1"/>
  <c r="J46" i="1" s="1"/>
  <c r="J48" i="1"/>
  <c r="M89" i="1"/>
  <c r="M91" i="1" s="1"/>
  <c r="M108" i="4"/>
  <c r="J78" i="4"/>
  <c r="J76" i="4"/>
  <c r="K43" i="1"/>
  <c r="K45" i="1" s="1"/>
  <c r="K52" i="4"/>
  <c r="J33" i="4"/>
  <c r="J31" i="4"/>
  <c r="K40" i="4"/>
  <c r="K34" i="1"/>
  <c r="K36" i="1" s="1"/>
  <c r="J15" i="1"/>
  <c r="J12" i="1"/>
  <c r="J11" i="1"/>
  <c r="J10" i="1" s="1"/>
  <c r="J8" i="1"/>
  <c r="I13" i="4"/>
  <c r="I12" i="4" s="1"/>
  <c r="I10" i="4"/>
  <c r="I136" i="4"/>
  <c r="I135" i="4" s="1"/>
  <c r="I133" i="4"/>
  <c r="I47" i="4"/>
  <c r="I41" i="4"/>
  <c r="I50" i="4"/>
  <c r="K4" i="27"/>
  <c r="K9" i="7" s="1"/>
  <c r="J9" i="7"/>
  <c r="H82" i="4"/>
  <c r="H83" i="4" s="1"/>
  <c r="K25" i="1"/>
  <c r="K27" i="1" s="1"/>
  <c r="K29" i="4"/>
  <c r="I49" i="1"/>
  <c r="I50" i="1" s="1"/>
  <c r="J35" i="1"/>
  <c r="J38" i="1"/>
  <c r="J37" i="1" s="1"/>
  <c r="J42" i="1"/>
  <c r="J39" i="1"/>
  <c r="J99" i="1"/>
  <c r="J103" i="1"/>
  <c r="J106" i="1"/>
  <c r="J102" i="1"/>
  <c r="J101" i="1" s="1"/>
  <c r="H138" i="4"/>
  <c r="H139" i="4" s="1"/>
  <c r="H60" i="4"/>
  <c r="H61" i="4" s="1"/>
  <c r="I104" i="4"/>
  <c r="I98" i="4"/>
  <c r="I107" i="4"/>
  <c r="K62" i="1"/>
  <c r="K64" i="1" s="1"/>
  <c r="K74" i="4"/>
  <c r="H105" i="4"/>
  <c r="H106" i="4" s="1"/>
  <c r="I126" i="4"/>
  <c r="I120" i="4"/>
  <c r="I129" i="4"/>
  <c r="I70" i="4"/>
  <c r="I64" i="4"/>
  <c r="I73" i="4"/>
  <c r="I77" i="4"/>
  <c r="I80" i="4"/>
  <c r="I79" i="4" s="1"/>
  <c r="I22" i="1"/>
  <c r="I23" i="1" s="1"/>
  <c r="J109" i="4"/>
  <c r="J115" i="4"/>
  <c r="J118" i="4"/>
  <c r="J12" i="7"/>
  <c r="K7" i="27"/>
  <c r="K12" i="7" s="1"/>
  <c r="I91" i="4"/>
  <c r="I90" i="4" s="1"/>
  <c r="I88" i="4"/>
  <c r="J9" i="4"/>
  <c r="J11" i="4"/>
  <c r="I14" i="4"/>
  <c r="I8" i="4"/>
  <c r="I17" i="4"/>
  <c r="I140" i="4"/>
  <c r="I137" i="4"/>
  <c r="I131" i="4"/>
  <c r="I104" i="1"/>
  <c r="I105" i="1" s="1"/>
  <c r="I116" i="4"/>
  <c r="I117" i="4" s="1"/>
  <c r="I58" i="1"/>
  <c r="I59" i="1" s="1"/>
  <c r="J111" i="1"/>
  <c r="J110" i="1" s="1"/>
  <c r="J108" i="1"/>
  <c r="J112" i="1"/>
  <c r="J115" i="1"/>
  <c r="I21" i="4"/>
  <c r="I24" i="4"/>
  <c r="I23" i="4" s="1"/>
  <c r="K7" i="4"/>
  <c r="K7" i="1"/>
  <c r="K9" i="1" s="1"/>
  <c r="K97" i="1"/>
  <c r="K94" i="1"/>
  <c r="K90" i="1"/>
  <c r="K93" i="1"/>
  <c r="K92" i="1" s="1"/>
  <c r="J14" i="7"/>
  <c r="K9" i="27"/>
  <c r="K14" i="7" s="1"/>
  <c r="J67" i="4"/>
  <c r="J65" i="4"/>
  <c r="I36" i="4"/>
  <c r="I30" i="4"/>
  <c r="I39" i="4"/>
  <c r="I68" i="1"/>
  <c r="I69" i="1" s="1"/>
  <c r="J123" i="4"/>
  <c r="J121" i="4"/>
  <c r="H48" i="4"/>
  <c r="H49" i="4" s="1"/>
  <c r="I113" i="1"/>
  <c r="I114" i="1" s="1"/>
  <c r="J24" i="1"/>
  <c r="J17" i="1"/>
  <c r="J20" i="1"/>
  <c r="J19" i="1" s="1"/>
  <c r="J21" i="1"/>
  <c r="K10" i="27"/>
  <c r="K15" i="7" s="1"/>
  <c r="J15" i="7"/>
  <c r="I66" i="4"/>
  <c r="I69" i="4"/>
  <c r="I68" i="4" s="1"/>
  <c r="J20" i="7"/>
  <c r="K15" i="27"/>
  <c r="K20" i="7" s="1"/>
  <c r="I92" i="4"/>
  <c r="I95" i="4"/>
  <c r="I86" i="4"/>
  <c r="J85" i="1"/>
  <c r="J81" i="1"/>
  <c r="J84" i="1"/>
  <c r="J83" i="1" s="1"/>
  <c r="J88" i="1"/>
  <c r="J132" i="4"/>
  <c r="J134" i="4"/>
  <c r="I28" i="4"/>
  <c r="I25" i="4"/>
  <c r="I19" i="4"/>
  <c r="K112" i="4"/>
  <c r="K110" i="4"/>
  <c r="K52" i="1"/>
  <c r="K54" i="1" s="1"/>
  <c r="K63" i="4"/>
  <c r="J53" i="1"/>
  <c r="J60" i="1"/>
  <c r="J57" i="1"/>
  <c r="J56" i="1"/>
  <c r="J55" i="1" s="1"/>
  <c r="I35" i="4"/>
  <c r="I34" i="4" s="1"/>
  <c r="I32" i="4"/>
  <c r="K11" i="27"/>
  <c r="K16" i="7" s="1"/>
  <c r="J16" i="7"/>
  <c r="K16" i="1"/>
  <c r="K18" i="1" s="1"/>
  <c r="K18" i="4"/>
  <c r="J22" i="4"/>
  <c r="J20" i="4"/>
  <c r="I58" i="4"/>
  <c r="I57" i="4" s="1"/>
  <c r="I55" i="4"/>
  <c r="J17" i="7"/>
  <c r="K12" i="27"/>
  <c r="K17" i="7" s="1"/>
  <c r="J56" i="4"/>
  <c r="J54" i="4"/>
  <c r="K98" i="1"/>
  <c r="K100" i="1" s="1"/>
  <c r="K119" i="4"/>
  <c r="I40" i="1"/>
  <c r="I41" i="1" s="1"/>
  <c r="J87" i="4"/>
  <c r="J89" i="4"/>
  <c r="L108" i="4"/>
  <c r="L89" i="1"/>
  <c r="L91" i="1" s="1"/>
  <c r="J66" i="1"/>
  <c r="J65" i="1" s="1"/>
  <c r="J67" i="1"/>
  <c r="J63" i="1"/>
  <c r="J70" i="1"/>
  <c r="K8" i="27"/>
  <c r="K13" i="7" s="1"/>
  <c r="J13" i="7"/>
  <c r="J26" i="1"/>
  <c r="J30" i="1"/>
  <c r="J33" i="1"/>
  <c r="J29" i="1"/>
  <c r="J28" i="1" s="1"/>
  <c r="K130" i="4"/>
  <c r="K107" i="1"/>
  <c r="K109" i="1" s="1"/>
  <c r="H26" i="4"/>
  <c r="H27" i="4" s="1"/>
  <c r="J101" i="4"/>
  <c r="J99" i="4"/>
  <c r="I43" i="4"/>
  <c r="I46" i="4"/>
  <c r="I45" i="4" s="1"/>
  <c r="I13" i="1"/>
  <c r="I14" i="1" s="1"/>
  <c r="K6" i="27"/>
  <c r="K11" i="7" s="1"/>
  <c r="J11" i="7"/>
  <c r="J42" i="4"/>
  <c r="J44" i="4"/>
  <c r="K71" i="1"/>
  <c r="K73" i="1" s="1"/>
  <c r="K85" i="4"/>
  <c r="K5" i="27"/>
  <c r="K10" i="7" s="1"/>
  <c r="J10" i="7"/>
  <c r="H127" i="4"/>
  <c r="H128" i="4" s="1"/>
  <c r="I100" i="4"/>
  <c r="I103" i="4"/>
  <c r="I102" i="4" s="1"/>
  <c r="H93" i="4"/>
  <c r="H94" i="4" s="1"/>
  <c r="J86" i="1" l="1"/>
  <c r="J87" i="1" s="1"/>
  <c r="K95" i="1"/>
  <c r="K96" i="1" s="1"/>
  <c r="I127" i="4"/>
  <c r="I128" i="4" s="1"/>
  <c r="J116" i="4"/>
  <c r="J117" i="4" s="1"/>
  <c r="J58" i="1"/>
  <c r="J59" i="1" s="1"/>
  <c r="J68" i="1"/>
  <c r="J69" i="1" s="1"/>
  <c r="I26" i="4"/>
  <c r="I27" i="4" s="1"/>
  <c r="K87" i="4"/>
  <c r="K89" i="4"/>
  <c r="K111" i="1"/>
  <c r="K110" i="1" s="1"/>
  <c r="K108" i="1"/>
  <c r="K115" i="1"/>
  <c r="K112" i="1"/>
  <c r="L93" i="1"/>
  <c r="L92" i="1" s="1"/>
  <c r="L90" i="1"/>
  <c r="L97" i="1"/>
  <c r="L94" i="1"/>
  <c r="K24" i="1"/>
  <c r="K21" i="1"/>
  <c r="K20" i="1"/>
  <c r="K19" i="1" s="1"/>
  <c r="K17" i="1"/>
  <c r="J136" i="4"/>
  <c r="J135" i="4" s="1"/>
  <c r="J133" i="4"/>
  <c r="J66" i="4"/>
  <c r="J69" i="4"/>
  <c r="J68" i="4" s="1"/>
  <c r="K11" i="4"/>
  <c r="K9" i="4"/>
  <c r="M40" i="4"/>
  <c r="M34" i="1"/>
  <c r="M36" i="1" s="1"/>
  <c r="K66" i="1"/>
  <c r="K65" i="1" s="1"/>
  <c r="K67" i="1"/>
  <c r="K70" i="1"/>
  <c r="K63" i="1"/>
  <c r="K47" i="1"/>
  <c r="K46" i="1" s="1"/>
  <c r="K44" i="1"/>
  <c r="K51" i="1"/>
  <c r="K48" i="1"/>
  <c r="K79" i="1"/>
  <c r="K72" i="1"/>
  <c r="K76" i="1"/>
  <c r="K75" i="1"/>
  <c r="K74" i="1" s="1"/>
  <c r="K132" i="4"/>
  <c r="K134" i="4"/>
  <c r="L62" i="1"/>
  <c r="L64" i="1" s="1"/>
  <c r="L74" i="4"/>
  <c r="J126" i="4"/>
  <c r="J120" i="4"/>
  <c r="J129" i="4"/>
  <c r="M52" i="1"/>
  <c r="M54" i="1" s="1"/>
  <c r="M63" i="4"/>
  <c r="J113" i="1"/>
  <c r="J114" i="1" s="1"/>
  <c r="J8" i="4"/>
  <c r="J14" i="4"/>
  <c r="J17" i="4"/>
  <c r="I71" i="4"/>
  <c r="I72" i="4" s="1"/>
  <c r="J104" i="1"/>
  <c r="J105" i="1" s="1"/>
  <c r="I48" i="4"/>
  <c r="I49" i="4" s="1"/>
  <c r="J36" i="4"/>
  <c r="J39" i="4"/>
  <c r="J30" i="4"/>
  <c r="J75" i="4"/>
  <c r="J84" i="4"/>
  <c r="J81" i="4"/>
  <c r="L16" i="1"/>
  <c r="L18" i="1" s="1"/>
  <c r="L18" i="4"/>
  <c r="J43" i="4"/>
  <c r="J46" i="4"/>
  <c r="J45" i="4" s="1"/>
  <c r="J100" i="4"/>
  <c r="J103" i="4"/>
  <c r="J102" i="4" s="1"/>
  <c r="L52" i="4"/>
  <c r="L43" i="1"/>
  <c r="L45" i="1" s="1"/>
  <c r="J88" i="4"/>
  <c r="J91" i="4"/>
  <c r="J90" i="4" s="1"/>
  <c r="K102" i="1"/>
  <c r="K101" i="1" s="1"/>
  <c r="K106" i="1"/>
  <c r="K99" i="1"/>
  <c r="K103" i="1"/>
  <c r="L97" i="4"/>
  <c r="L80" i="1"/>
  <c r="L82" i="1" s="1"/>
  <c r="J21" i="4"/>
  <c r="J24" i="4"/>
  <c r="J23" i="4" s="1"/>
  <c r="M85" i="4"/>
  <c r="M71" i="1"/>
  <c r="M73" i="1" s="1"/>
  <c r="K53" i="1"/>
  <c r="K57" i="1"/>
  <c r="K60" i="1"/>
  <c r="K56" i="1"/>
  <c r="K55" i="1" s="1"/>
  <c r="I93" i="4"/>
  <c r="I94" i="4" s="1"/>
  <c r="L107" i="1"/>
  <c r="L109" i="1" s="1"/>
  <c r="L130" i="4"/>
  <c r="M74" i="4"/>
  <c r="M62" i="1"/>
  <c r="M64" i="1" s="1"/>
  <c r="J125" i="4"/>
  <c r="J124" i="4" s="1"/>
  <c r="J122" i="4"/>
  <c r="L63" i="4"/>
  <c r="L52" i="1"/>
  <c r="L54" i="1" s="1"/>
  <c r="I138" i="4"/>
  <c r="I139" i="4" s="1"/>
  <c r="I15" i="4"/>
  <c r="I16" i="4" s="1"/>
  <c r="I105" i="4"/>
  <c r="I106" i="4" s="1"/>
  <c r="L7" i="1"/>
  <c r="L9" i="1" s="1"/>
  <c r="L7" i="4"/>
  <c r="J32" i="4"/>
  <c r="J35" i="4"/>
  <c r="J34" i="4" s="1"/>
  <c r="J77" i="4"/>
  <c r="J80" i="4"/>
  <c r="J79" i="4" s="1"/>
  <c r="I60" i="4"/>
  <c r="I61" i="4" s="1"/>
  <c r="I82" i="4"/>
  <c r="I83" i="4" s="1"/>
  <c r="K81" i="1"/>
  <c r="K88" i="1"/>
  <c r="K85" i="1"/>
  <c r="K84" i="1"/>
  <c r="K83" i="1" s="1"/>
  <c r="L25" i="1"/>
  <c r="L27" i="1" s="1"/>
  <c r="L29" i="4"/>
  <c r="J58" i="4"/>
  <c r="J57" i="4" s="1"/>
  <c r="J55" i="4"/>
  <c r="K111" i="4"/>
  <c r="K114" i="4"/>
  <c r="K113" i="4" s="1"/>
  <c r="J10" i="4"/>
  <c r="J13" i="4"/>
  <c r="J12" i="4" s="1"/>
  <c r="K30" i="1"/>
  <c r="K33" i="1"/>
  <c r="K26" i="1"/>
  <c r="K29" i="1"/>
  <c r="K28" i="1" s="1"/>
  <c r="K42" i="4"/>
  <c r="K44" i="4"/>
  <c r="M97" i="1"/>
  <c r="M94" i="1"/>
  <c r="M93" i="1"/>
  <c r="M92" i="1" s="1"/>
  <c r="M90" i="1"/>
  <c r="L98" i="1"/>
  <c r="L100" i="1" s="1"/>
  <c r="L119" i="4"/>
  <c r="M29" i="4"/>
  <c r="M25" i="1"/>
  <c r="M27" i="1" s="1"/>
  <c r="J104" i="4"/>
  <c r="J107" i="4"/>
  <c r="J98" i="4"/>
  <c r="J31" i="1"/>
  <c r="J32" i="1" s="1"/>
  <c r="L110" i="4"/>
  <c r="L112" i="4"/>
  <c r="K121" i="4"/>
  <c r="K123" i="4"/>
  <c r="M80" i="1"/>
  <c r="M82" i="1" s="1"/>
  <c r="M97" i="4"/>
  <c r="J28" i="4"/>
  <c r="J19" i="4"/>
  <c r="J25" i="4"/>
  <c r="L85" i="4"/>
  <c r="L71" i="1"/>
  <c r="L73" i="1" s="1"/>
  <c r="K67" i="4"/>
  <c r="K65" i="4"/>
  <c r="J137" i="4"/>
  <c r="J131" i="4"/>
  <c r="J140" i="4"/>
  <c r="M107" i="1"/>
  <c r="M109" i="1" s="1"/>
  <c r="M130" i="4"/>
  <c r="J22" i="1"/>
  <c r="J23" i="1" s="1"/>
  <c r="I37" i="4"/>
  <c r="I38" i="4" s="1"/>
  <c r="L40" i="4"/>
  <c r="L34" i="1"/>
  <c r="L36" i="1" s="1"/>
  <c r="J40" i="1"/>
  <c r="J41" i="1" s="1"/>
  <c r="M18" i="4"/>
  <c r="M16" i="1"/>
  <c r="M18" i="1" s="1"/>
  <c r="J47" i="4"/>
  <c r="J50" i="4"/>
  <c r="J41" i="4"/>
  <c r="M52" i="4"/>
  <c r="M43" i="1"/>
  <c r="M45" i="1" s="1"/>
  <c r="J86" i="4"/>
  <c r="J95" i="4"/>
  <c r="J92" i="4"/>
  <c r="J62" i="4"/>
  <c r="J59" i="4"/>
  <c r="J53" i="4"/>
  <c r="K22" i="4"/>
  <c r="K20" i="4"/>
  <c r="K115" i="4"/>
  <c r="K118" i="4"/>
  <c r="K109" i="4"/>
  <c r="J64" i="4"/>
  <c r="J73" i="4"/>
  <c r="J70" i="4"/>
  <c r="K15" i="1"/>
  <c r="K11" i="1"/>
  <c r="K10" i="1" s="1"/>
  <c r="K12" i="1"/>
  <c r="K8" i="1"/>
  <c r="K78" i="4"/>
  <c r="K76" i="4"/>
  <c r="K33" i="4"/>
  <c r="K31" i="4"/>
  <c r="M7" i="4"/>
  <c r="M7" i="1"/>
  <c r="M9" i="1" s="1"/>
  <c r="J13" i="1"/>
  <c r="J14" i="1" s="1"/>
  <c r="K35" i="1"/>
  <c r="K38" i="1"/>
  <c r="K37" i="1" s="1"/>
  <c r="K39" i="1"/>
  <c r="K42" i="1"/>
  <c r="K54" i="4"/>
  <c r="K56" i="4"/>
  <c r="M112" i="4"/>
  <c r="M110" i="4"/>
  <c r="J49" i="1"/>
  <c r="J50" i="1" s="1"/>
  <c r="J77" i="1"/>
  <c r="J78" i="1" s="1"/>
  <c r="M98" i="1"/>
  <c r="M100" i="1" s="1"/>
  <c r="M119" i="4"/>
  <c r="K99" i="4"/>
  <c r="K101" i="4"/>
  <c r="K40" i="1" l="1"/>
  <c r="K41" i="1" s="1"/>
  <c r="K13" i="1"/>
  <c r="K14" i="1" s="1"/>
  <c r="J60" i="4"/>
  <c r="J61" i="4" s="1"/>
  <c r="J48" i="4"/>
  <c r="J49" i="4" s="1"/>
  <c r="J26" i="4"/>
  <c r="J27" i="4" s="1"/>
  <c r="M95" i="1"/>
  <c r="M96" i="1" s="1"/>
  <c r="K68" i="1"/>
  <c r="K69" i="1" s="1"/>
  <c r="K22" i="1"/>
  <c r="K23" i="1" s="1"/>
  <c r="K107" i="4"/>
  <c r="K104" i="4"/>
  <c r="K98" i="4"/>
  <c r="K62" i="4"/>
  <c r="K59" i="4"/>
  <c r="K53" i="4"/>
  <c r="K39" i="4"/>
  <c r="K36" i="4"/>
  <c r="K30" i="4"/>
  <c r="M20" i="4"/>
  <c r="M22" i="4"/>
  <c r="M30" i="1"/>
  <c r="M33" i="1"/>
  <c r="M29" i="1"/>
  <c r="M28" i="1" s="1"/>
  <c r="M26" i="1"/>
  <c r="M103" i="1"/>
  <c r="M99" i="1"/>
  <c r="M106" i="1"/>
  <c r="M102" i="1"/>
  <c r="M101" i="1" s="1"/>
  <c r="M111" i="4"/>
  <c r="M114" i="4"/>
  <c r="M113" i="4" s="1"/>
  <c r="M12" i="1"/>
  <c r="M8" i="1"/>
  <c r="M15" i="1"/>
  <c r="M11" i="1"/>
  <c r="M10" i="1" s="1"/>
  <c r="K81" i="4"/>
  <c r="K75" i="4"/>
  <c r="K84" i="4"/>
  <c r="J71" i="4"/>
  <c r="J72" i="4" s="1"/>
  <c r="K25" i="4"/>
  <c r="K28" i="4"/>
  <c r="K19" i="4"/>
  <c r="M48" i="1"/>
  <c r="M44" i="1"/>
  <c r="M51" i="1"/>
  <c r="M47" i="1"/>
  <c r="M46" i="1" s="1"/>
  <c r="L39" i="1"/>
  <c r="L38" i="1"/>
  <c r="L37" i="1" s="1"/>
  <c r="L42" i="1"/>
  <c r="L35" i="1"/>
  <c r="M132" i="4"/>
  <c r="M134" i="4"/>
  <c r="L87" i="4"/>
  <c r="L89" i="4"/>
  <c r="M101" i="4"/>
  <c r="M99" i="4"/>
  <c r="L114" i="4"/>
  <c r="L113" i="4" s="1"/>
  <c r="L111" i="4"/>
  <c r="L121" i="4"/>
  <c r="L123" i="4"/>
  <c r="L67" i="4"/>
  <c r="L65" i="4"/>
  <c r="M76" i="4"/>
  <c r="M78" i="4"/>
  <c r="M79" i="1"/>
  <c r="M75" i="1"/>
  <c r="M74" i="1" s="1"/>
  <c r="M72" i="1"/>
  <c r="M76" i="1"/>
  <c r="L84" i="1"/>
  <c r="L83" i="1" s="1"/>
  <c r="L85" i="1"/>
  <c r="L81" i="1"/>
  <c r="L88" i="1"/>
  <c r="L47" i="1"/>
  <c r="L46" i="1" s="1"/>
  <c r="L48" i="1"/>
  <c r="L51" i="1"/>
  <c r="L44" i="1"/>
  <c r="J127" i="4"/>
  <c r="J128" i="4" s="1"/>
  <c r="K136" i="4"/>
  <c r="K135" i="4" s="1"/>
  <c r="K133" i="4"/>
  <c r="K77" i="1"/>
  <c r="K78" i="1" s="1"/>
  <c r="K49" i="1"/>
  <c r="K50" i="1" s="1"/>
  <c r="K8" i="4"/>
  <c r="K17" i="4"/>
  <c r="K14" i="4"/>
  <c r="L95" i="1"/>
  <c r="L96" i="1" s="1"/>
  <c r="K113" i="1"/>
  <c r="K114" i="1" s="1"/>
  <c r="K103" i="4"/>
  <c r="K102" i="4" s="1"/>
  <c r="K100" i="4"/>
  <c r="K58" i="4"/>
  <c r="K57" i="4" s="1"/>
  <c r="K55" i="4"/>
  <c r="M11" i="4"/>
  <c r="M9" i="4"/>
  <c r="K77" i="4"/>
  <c r="K80" i="4"/>
  <c r="K79" i="4" s="1"/>
  <c r="K116" i="4"/>
  <c r="K117" i="4" s="1"/>
  <c r="K21" i="4"/>
  <c r="K24" i="4"/>
  <c r="K23" i="4" s="1"/>
  <c r="M56" i="4"/>
  <c r="M54" i="4"/>
  <c r="M17" i="1"/>
  <c r="M20" i="1"/>
  <c r="M19" i="1" s="1"/>
  <c r="M24" i="1"/>
  <c r="M21" i="1"/>
  <c r="L44" i="4"/>
  <c r="L42" i="4"/>
  <c r="M111" i="1"/>
  <c r="M110" i="1" s="1"/>
  <c r="M112" i="1"/>
  <c r="M108" i="1"/>
  <c r="M115" i="1"/>
  <c r="K70" i="4"/>
  <c r="K73" i="4"/>
  <c r="K64" i="4"/>
  <c r="M88" i="1"/>
  <c r="M81" i="1"/>
  <c r="M85" i="1"/>
  <c r="M84" i="1"/>
  <c r="M83" i="1" s="1"/>
  <c r="L118" i="4"/>
  <c r="L109" i="4"/>
  <c r="L115" i="4"/>
  <c r="L102" i="1"/>
  <c r="L101" i="1" s="1"/>
  <c r="L106" i="1"/>
  <c r="L99" i="1"/>
  <c r="L103" i="1"/>
  <c r="K31" i="1"/>
  <c r="K32" i="1" s="1"/>
  <c r="L134" i="4"/>
  <c r="L132" i="4"/>
  <c r="M87" i="4"/>
  <c r="M89" i="4"/>
  <c r="L99" i="4"/>
  <c r="L101" i="4"/>
  <c r="L54" i="4"/>
  <c r="L56" i="4"/>
  <c r="M67" i="4"/>
  <c r="M65" i="4"/>
  <c r="K137" i="4"/>
  <c r="K131" i="4"/>
  <c r="K140" i="4"/>
  <c r="K10" i="4"/>
  <c r="K13" i="4"/>
  <c r="K12" i="4" s="1"/>
  <c r="K69" i="4"/>
  <c r="K68" i="4" s="1"/>
  <c r="K66" i="4"/>
  <c r="K122" i="4"/>
  <c r="K125" i="4"/>
  <c r="K124" i="4" s="1"/>
  <c r="K43" i="4"/>
  <c r="K46" i="4"/>
  <c r="K45" i="4" s="1"/>
  <c r="L33" i="4"/>
  <c r="L31" i="4"/>
  <c r="L9" i="4"/>
  <c r="L11" i="4"/>
  <c r="L112" i="1"/>
  <c r="L115" i="1"/>
  <c r="L108" i="1"/>
  <c r="L111" i="1"/>
  <c r="L110" i="1" s="1"/>
  <c r="L20" i="4"/>
  <c r="L22" i="4"/>
  <c r="J82" i="4"/>
  <c r="J83" i="4" s="1"/>
  <c r="M57" i="1"/>
  <c r="M60" i="1"/>
  <c r="M53" i="1"/>
  <c r="M56" i="1"/>
  <c r="M55" i="1" s="1"/>
  <c r="L78" i="4"/>
  <c r="L76" i="4"/>
  <c r="M35" i="1"/>
  <c r="M42" i="1"/>
  <c r="M39" i="1"/>
  <c r="M38" i="1"/>
  <c r="M37" i="1" s="1"/>
  <c r="K88" i="4"/>
  <c r="K91" i="4"/>
  <c r="K90" i="4" s="1"/>
  <c r="M121" i="4"/>
  <c r="M123" i="4"/>
  <c r="M115" i="4"/>
  <c r="M109" i="4"/>
  <c r="M118" i="4"/>
  <c r="K32" i="4"/>
  <c r="K35" i="4"/>
  <c r="K34" i="4" s="1"/>
  <c r="J93" i="4"/>
  <c r="J94" i="4" s="1"/>
  <c r="J138" i="4"/>
  <c r="J139" i="4" s="1"/>
  <c r="L72" i="1"/>
  <c r="L75" i="1"/>
  <c r="L74" i="1" s="1"/>
  <c r="L76" i="1"/>
  <c r="L79" i="1"/>
  <c r="K129" i="4"/>
  <c r="K120" i="4"/>
  <c r="K126" i="4"/>
  <c r="J105" i="4"/>
  <c r="J106" i="4" s="1"/>
  <c r="M33" i="4"/>
  <c r="M31" i="4"/>
  <c r="K41" i="4"/>
  <c r="K47" i="4"/>
  <c r="K50" i="4"/>
  <c r="L29" i="1"/>
  <c r="L28" i="1" s="1"/>
  <c r="L30" i="1"/>
  <c r="L33" i="1"/>
  <c r="L26" i="1"/>
  <c r="K86" i="1"/>
  <c r="K87" i="1" s="1"/>
  <c r="L11" i="1"/>
  <c r="L10" i="1" s="1"/>
  <c r="L15" i="1"/>
  <c r="L8" i="1"/>
  <c r="L12" i="1"/>
  <c r="L56" i="1"/>
  <c r="L55" i="1" s="1"/>
  <c r="L60" i="1"/>
  <c r="L53" i="1"/>
  <c r="L57" i="1"/>
  <c r="M70" i="1"/>
  <c r="M66" i="1"/>
  <c r="M65" i="1" s="1"/>
  <c r="M63" i="1"/>
  <c r="M67" i="1"/>
  <c r="K58" i="1"/>
  <c r="K59" i="1" s="1"/>
  <c r="K104" i="1"/>
  <c r="K105" i="1" s="1"/>
  <c r="L17" i="1"/>
  <c r="L21" i="1"/>
  <c r="L20" i="1"/>
  <c r="L19" i="1" s="1"/>
  <c r="L24" i="1"/>
  <c r="J37" i="4"/>
  <c r="J38" i="4" s="1"/>
  <c r="J15" i="4"/>
  <c r="J16" i="4" s="1"/>
  <c r="L67" i="1"/>
  <c r="L66" i="1"/>
  <c r="L65" i="1" s="1"/>
  <c r="L63" i="1"/>
  <c r="L70" i="1"/>
  <c r="M42" i="4"/>
  <c r="M44" i="4"/>
  <c r="K92" i="4"/>
  <c r="K95" i="4"/>
  <c r="K86" i="4"/>
  <c r="M68" i="1" l="1"/>
  <c r="M69" i="1" s="1"/>
  <c r="L116" i="4"/>
  <c r="L117" i="4" s="1"/>
  <c r="K93" i="4"/>
  <c r="K94" i="4" s="1"/>
  <c r="K48" i="4"/>
  <c r="K49" i="4" s="1"/>
  <c r="M116" i="4"/>
  <c r="M117" i="4" s="1"/>
  <c r="L113" i="1"/>
  <c r="L114" i="1" s="1"/>
  <c r="K138" i="4"/>
  <c r="K139" i="4" s="1"/>
  <c r="M22" i="1"/>
  <c r="M23" i="1" s="1"/>
  <c r="L49" i="1"/>
  <c r="L50" i="1" s="1"/>
  <c r="M113" i="1"/>
  <c r="M114" i="1" s="1"/>
  <c r="M49" i="1"/>
  <c r="M50" i="1" s="1"/>
  <c r="K60" i="4"/>
  <c r="K61" i="4" s="1"/>
  <c r="M50" i="4"/>
  <c r="M47" i="4"/>
  <c r="M41" i="4"/>
  <c r="L14" i="4"/>
  <c r="L17" i="4"/>
  <c r="L8" i="4"/>
  <c r="L55" i="4"/>
  <c r="L58" i="4"/>
  <c r="L57" i="4" s="1"/>
  <c r="K71" i="4"/>
  <c r="K72" i="4" s="1"/>
  <c r="L46" i="4"/>
  <c r="L45" i="4" s="1"/>
  <c r="L43" i="4"/>
  <c r="M14" i="4"/>
  <c r="M17" i="4"/>
  <c r="M8" i="4"/>
  <c r="L68" i="1"/>
  <c r="L69" i="1" s="1"/>
  <c r="L22" i="1"/>
  <c r="L23" i="1" s="1"/>
  <c r="L58" i="1"/>
  <c r="L59" i="1" s="1"/>
  <c r="L13" i="1"/>
  <c r="L14" i="1" s="1"/>
  <c r="L31" i="1"/>
  <c r="L32" i="1" s="1"/>
  <c r="M35" i="4"/>
  <c r="M34" i="4" s="1"/>
  <c r="M32" i="4"/>
  <c r="L77" i="1"/>
  <c r="L78" i="1" s="1"/>
  <c r="M125" i="4"/>
  <c r="M124" i="4" s="1"/>
  <c r="M122" i="4"/>
  <c r="L75" i="4"/>
  <c r="L84" i="4"/>
  <c r="L81" i="4"/>
  <c r="L28" i="4"/>
  <c r="L19" i="4"/>
  <c r="L25" i="4"/>
  <c r="L32" i="4"/>
  <c r="L35" i="4"/>
  <c r="L34" i="4" s="1"/>
  <c r="M73" i="4"/>
  <c r="M70" i="4"/>
  <c r="M64" i="4"/>
  <c r="L103" i="4"/>
  <c r="L102" i="4" s="1"/>
  <c r="L100" i="4"/>
  <c r="L137" i="4"/>
  <c r="L131" i="4"/>
  <c r="L140" i="4"/>
  <c r="L104" i="1"/>
  <c r="L105" i="1" s="1"/>
  <c r="M86" i="1"/>
  <c r="M87" i="1" s="1"/>
  <c r="M55" i="4"/>
  <c r="M58" i="4"/>
  <c r="M57" i="4" s="1"/>
  <c r="K15" i="4"/>
  <c r="K16" i="4" s="1"/>
  <c r="L73" i="4"/>
  <c r="L64" i="4"/>
  <c r="L70" i="4"/>
  <c r="L88" i="4"/>
  <c r="L91" i="4"/>
  <c r="L90" i="4" s="1"/>
  <c r="L40" i="1"/>
  <c r="L41" i="1" s="1"/>
  <c r="K26" i="4"/>
  <c r="K27" i="4" s="1"/>
  <c r="M43" i="4"/>
  <c r="M46" i="4"/>
  <c r="M45" i="4" s="1"/>
  <c r="M120" i="4"/>
  <c r="M126" i="4"/>
  <c r="M129" i="4"/>
  <c r="L80" i="4"/>
  <c r="L79" i="4" s="1"/>
  <c r="L77" i="4"/>
  <c r="L13" i="4"/>
  <c r="L12" i="4" s="1"/>
  <c r="L10" i="4"/>
  <c r="M66" i="4"/>
  <c r="M69" i="4"/>
  <c r="M68" i="4" s="1"/>
  <c r="L98" i="4"/>
  <c r="L107" i="4"/>
  <c r="L104" i="4"/>
  <c r="L136" i="4"/>
  <c r="L135" i="4" s="1"/>
  <c r="L133" i="4"/>
  <c r="L50" i="4"/>
  <c r="L41" i="4"/>
  <c r="L47" i="4"/>
  <c r="L66" i="4"/>
  <c r="L69" i="4"/>
  <c r="L68" i="4" s="1"/>
  <c r="L92" i="4"/>
  <c r="L95" i="4"/>
  <c r="L86" i="4"/>
  <c r="K82" i="4"/>
  <c r="K83" i="4" s="1"/>
  <c r="M13" i="1"/>
  <c r="M14" i="1" s="1"/>
  <c r="M31" i="1"/>
  <c r="M32" i="1" s="1"/>
  <c r="M24" i="4"/>
  <c r="M23" i="4" s="1"/>
  <c r="M21" i="4"/>
  <c r="K105" i="4"/>
  <c r="K106" i="4" s="1"/>
  <c r="M88" i="4"/>
  <c r="M91" i="4"/>
  <c r="M90" i="4" s="1"/>
  <c r="M80" i="4"/>
  <c r="M79" i="4" s="1"/>
  <c r="M77" i="4"/>
  <c r="L122" i="4"/>
  <c r="L125" i="4"/>
  <c r="L124" i="4" s="1"/>
  <c r="M107" i="4"/>
  <c r="M98" i="4"/>
  <c r="M104" i="4"/>
  <c r="M133" i="4"/>
  <c r="M136" i="4"/>
  <c r="M135" i="4" s="1"/>
  <c r="M28" i="4"/>
  <c r="M25" i="4"/>
  <c r="M19" i="4"/>
  <c r="M30" i="4"/>
  <c r="M39" i="4"/>
  <c r="M36" i="4"/>
  <c r="K127" i="4"/>
  <c r="K128" i="4" s="1"/>
  <c r="M40" i="1"/>
  <c r="M41" i="1" s="1"/>
  <c r="M58" i="1"/>
  <c r="M59" i="1" s="1"/>
  <c r="L21" i="4"/>
  <c r="L24" i="4"/>
  <c r="L23" i="4" s="1"/>
  <c r="L30" i="4"/>
  <c r="L39" i="4"/>
  <c r="L36" i="4"/>
  <c r="L62" i="4"/>
  <c r="L53" i="4"/>
  <c r="L59" i="4"/>
  <c r="M95" i="4"/>
  <c r="M86" i="4"/>
  <c r="M92" i="4"/>
  <c r="M53" i="4"/>
  <c r="M59" i="4"/>
  <c r="M62" i="4"/>
  <c r="M10" i="4"/>
  <c r="M13" i="4"/>
  <c r="M12" i="4" s="1"/>
  <c r="L86" i="1"/>
  <c r="L87" i="1" s="1"/>
  <c r="M77" i="1"/>
  <c r="M78" i="1" s="1"/>
  <c r="M84" i="4"/>
  <c r="M75" i="4"/>
  <c r="M81" i="4"/>
  <c r="L120" i="4"/>
  <c r="L129" i="4"/>
  <c r="L126" i="4"/>
  <c r="M100" i="4"/>
  <c r="M103" i="4"/>
  <c r="M102" i="4" s="1"/>
  <c r="M137" i="4"/>
  <c r="M140" i="4"/>
  <c r="M131" i="4"/>
  <c r="M104" i="1"/>
  <c r="M105" i="1" s="1"/>
  <c r="K37" i="4"/>
  <c r="K38" i="4" s="1"/>
  <c r="M82" i="4" l="1"/>
  <c r="M83" i="4" s="1"/>
  <c r="M60" i="4"/>
  <c r="M61" i="4" s="1"/>
  <c r="L48" i="4"/>
  <c r="L49" i="4" s="1"/>
  <c r="M93" i="4"/>
  <c r="M94" i="4" s="1"/>
  <c r="M26" i="4"/>
  <c r="M27" i="4" s="1"/>
  <c r="L127" i="4"/>
  <c r="L128" i="4" s="1"/>
  <c r="L93" i="4"/>
  <c r="L94" i="4" s="1"/>
  <c r="L105" i="4"/>
  <c r="L106" i="4" s="1"/>
  <c r="M138" i="4"/>
  <c r="M139" i="4" s="1"/>
  <c r="M127" i="4"/>
  <c r="M128" i="4" s="1"/>
  <c r="L71" i="4"/>
  <c r="L72" i="4" s="1"/>
  <c r="L138" i="4"/>
  <c r="L139" i="4" s="1"/>
  <c r="M71" i="4"/>
  <c r="M72" i="4" s="1"/>
  <c r="M48" i="4"/>
  <c r="M49" i="4" s="1"/>
  <c r="M105" i="4"/>
  <c r="M106" i="4" s="1"/>
  <c r="M15" i="4"/>
  <c r="M16" i="4" s="1"/>
  <c r="L15" i="4"/>
  <c r="L16" i="4" s="1"/>
  <c r="L60" i="4"/>
  <c r="L61" i="4" s="1"/>
  <c r="L37" i="4"/>
  <c r="L38" i="4" s="1"/>
  <c r="M37" i="4"/>
  <c r="M38" i="4" s="1"/>
  <c r="L26" i="4"/>
  <c r="L27" i="4" s="1"/>
  <c r="L82" i="4"/>
  <c r="L8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anthony.fanchi</author>
    <author>Anthony J. Fanchi</author>
    <author>Anthony J Fanchi</author>
  </authors>
  <commentList>
    <comment ref="C19" authorId="0" shapeId="0" xr:uid="{00000000-0006-0000-0000-000001000000}">
      <text>
        <r>
          <rPr>
            <b/>
            <sz val="9"/>
            <color indexed="81"/>
            <rFont val="Tahoma"/>
            <family val="2"/>
          </rPr>
          <t>Click here to go straight to the pay charts.</t>
        </r>
        <r>
          <rPr>
            <sz val="9"/>
            <color indexed="81"/>
            <rFont val="Tahoma"/>
            <family val="2"/>
          </rPr>
          <t xml:space="preserve">
</t>
        </r>
      </text>
    </comment>
    <comment ref="F27" authorId="1" shapeId="0" xr:uid="{00000000-0006-0000-0000-000002000000}">
      <text>
        <r>
          <rPr>
            <b/>
            <sz val="9"/>
            <color indexed="81"/>
            <rFont val="Tahoma"/>
            <family val="2"/>
          </rPr>
          <t>Click here to enter a special salary rate</t>
        </r>
      </text>
    </comment>
    <comment ref="C31" authorId="2" shapeId="0" xr:uid="{00000000-0006-0000-0000-000003000000}">
      <text>
        <r>
          <rPr>
            <b/>
            <sz val="8"/>
            <color indexed="81"/>
            <rFont val="Tahoma"/>
            <family val="2"/>
          </rPr>
          <t>Select 84, 72, 60, or 56</t>
        </r>
      </text>
    </comment>
    <comment ref="C33" authorId="2" shapeId="0" xr:uid="{00000000-0006-0000-0000-000004000000}">
      <text>
        <r>
          <rPr>
            <b/>
            <sz val="8"/>
            <color indexed="81"/>
            <rFont val="Tahoma"/>
            <family val="2"/>
          </rPr>
          <t>Select 60 or 56</t>
        </r>
      </text>
    </comment>
    <comment ref="C46" authorId="2" shapeId="0" xr:uid="{00000000-0006-0000-0000-000005000000}">
      <text>
        <r>
          <rPr>
            <b/>
            <sz val="8"/>
            <color indexed="81"/>
            <rFont val="Tahoma"/>
            <family val="2"/>
          </rPr>
          <t>Choose an area from the provided list, which will automatically select the correct Locality and/or COLA rate.  You may also manually change the rates below.  Please note that you must still select the appropriate area.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francis.scott</author>
    <author>Anthony J Fanchi</author>
  </authors>
  <commentList>
    <comment ref="C15" authorId="0" shapeId="0" xr:uid="{00000000-0006-0000-0400-000001000000}">
      <text>
        <r>
          <rPr>
            <b/>
            <sz val="8"/>
            <color indexed="81"/>
            <rFont val="Tahoma"/>
            <family val="2"/>
          </rPr>
          <t>Enter Annual Base Salary only!  Do not include Locality Pay, Local Market Supplement, or overtime.</t>
        </r>
      </text>
    </comment>
    <comment ref="C20" authorId="1" shapeId="0" xr:uid="{00000000-0006-0000-0400-000002000000}">
      <text>
        <r>
          <rPr>
            <b/>
            <sz val="8"/>
            <color indexed="81"/>
            <rFont val="Tahoma"/>
            <family val="2"/>
          </rPr>
          <t xml:space="preserve">REG BASE PAY refers to the amount listed in block 7 of your LES and is used by this program to calculate hourly rates only!  It is </t>
        </r>
        <r>
          <rPr>
            <b/>
            <u/>
            <sz val="8"/>
            <color indexed="81"/>
            <rFont val="Tahoma"/>
            <family val="2"/>
          </rPr>
          <t>not</t>
        </r>
        <r>
          <rPr>
            <b/>
            <sz val="8"/>
            <color indexed="81"/>
            <rFont val="Tahoma"/>
            <family val="2"/>
          </rPr>
          <t xml:space="preserve"> a federal firefighter's true base pay and should not be used for calculating retirement, TSP, life insurance, etc.</t>
        </r>
      </text>
    </comment>
    <comment ref="G20" authorId="1" shapeId="0" xr:uid="{00000000-0006-0000-0400-000003000000}">
      <text>
        <r>
          <rPr>
            <b/>
            <sz val="8"/>
            <color indexed="81"/>
            <rFont val="Tahoma"/>
            <family val="2"/>
          </rPr>
          <t xml:space="preserve">REG BASE PAY refers to the amount listed in block 7 of your LES and is used by this program to calculate hourly rates only!  It is </t>
        </r>
        <r>
          <rPr>
            <b/>
            <u/>
            <sz val="8"/>
            <color indexed="81"/>
            <rFont val="Tahoma"/>
            <family val="2"/>
          </rPr>
          <t>not</t>
        </r>
        <r>
          <rPr>
            <b/>
            <sz val="8"/>
            <color indexed="81"/>
            <rFont val="Tahoma"/>
            <family val="2"/>
          </rPr>
          <t xml:space="preserve"> a federal firefighter's true base pay and should not be used for calculating retirement, TSP, life insurance, etc.</t>
        </r>
      </text>
    </comment>
    <comment ref="C21" authorId="1" shapeId="0" xr:uid="{00000000-0006-0000-0400-000004000000}">
      <text>
        <r>
          <rPr>
            <b/>
            <sz val="8"/>
            <color indexed="81"/>
            <rFont val="Tahoma"/>
            <family val="2"/>
          </rPr>
          <t xml:space="preserve">FF PAY refers to the amount earned for 106 hours a pay period (53 a week).  It is approximately the same pay 40-hour a week employees earn.  On your LES, it is referred to as "REGULAR PAY."
</t>
        </r>
      </text>
    </comment>
    <comment ref="G21" authorId="1" shapeId="0" xr:uid="{00000000-0006-0000-0400-000005000000}">
      <text>
        <r>
          <rPr>
            <b/>
            <sz val="8"/>
            <color indexed="81"/>
            <rFont val="Tahoma"/>
            <family val="2"/>
          </rPr>
          <t xml:space="preserve">REG PAY refers to amount earned for the regular 80 hours a pay period (40 a week).  On your LES, it is referred to as "REGULAR PAY."
</t>
        </r>
      </text>
    </comment>
    <comment ref="C22" authorId="1" shapeId="0" xr:uid="{00000000-0006-0000-0400-000006000000}">
      <text>
        <r>
          <rPr>
            <b/>
            <sz val="8"/>
            <color indexed="81"/>
            <rFont val="Tahoma"/>
            <family val="2"/>
          </rPr>
          <t xml:space="preserve">FF RATE refers to the hourly pay actually received for the first 106 hours.  It is less than the normal GS rate.
</t>
        </r>
      </text>
    </comment>
    <comment ref="G22" authorId="1" shapeId="0" xr:uid="{00000000-0006-0000-0400-000007000000}">
      <text>
        <r>
          <rPr>
            <b/>
            <sz val="8"/>
            <color indexed="81"/>
            <rFont val="Tahoma"/>
            <family val="2"/>
          </rPr>
          <t>REG RATE refers to the hourly pay actually received for those 80 hours.  It is the normal hourly rate of a 40-hour employee.</t>
        </r>
      </text>
    </comment>
    <comment ref="C23" authorId="1" shapeId="0" xr:uid="{00000000-0006-0000-0400-000008000000}">
      <text>
        <r>
          <rPr>
            <b/>
            <sz val="8"/>
            <color indexed="81"/>
            <rFont val="Tahoma"/>
            <family val="2"/>
          </rPr>
          <t xml:space="preserve">OT PAY refers to overtime pay earned for all hours beyond 106.  On your LES, it is referred to as "OT IN TOUR."
</t>
        </r>
      </text>
    </comment>
    <comment ref="G23" authorId="1" shapeId="0" xr:uid="{00000000-0006-0000-0400-000009000000}">
      <text>
        <r>
          <rPr>
            <b/>
            <sz val="8"/>
            <color indexed="81"/>
            <rFont val="Tahoma"/>
            <family val="2"/>
          </rPr>
          <t xml:space="preserve">FF PAY refers to the amount earned for 26 hours a pay period (hours 41 to 53 a week).  On your LES, it is also referred to as "REGULAR PAY."
</t>
        </r>
      </text>
    </comment>
    <comment ref="C24" authorId="1" shapeId="0" xr:uid="{00000000-0006-0000-0400-00000A000000}">
      <text>
        <r>
          <rPr>
            <b/>
            <sz val="8"/>
            <color indexed="81"/>
            <rFont val="Tahoma"/>
            <family val="2"/>
          </rPr>
          <t>OT RATE refers to 1 1/2 times the FF hourly rate.  It is less than GS overtime.</t>
        </r>
      </text>
    </comment>
    <comment ref="G24" authorId="1" shapeId="0" xr:uid="{00000000-0006-0000-0400-00000B000000}">
      <text>
        <r>
          <rPr>
            <b/>
            <sz val="8"/>
            <color indexed="81"/>
            <rFont val="Tahoma"/>
            <family val="2"/>
          </rPr>
          <t>FF RATE refers to the hourly pay actually received for those 26 hours.  It is the same as shift firefighters of equal grade and step receive.</t>
        </r>
      </text>
    </comment>
    <comment ref="C25" authorId="1" shapeId="0" xr:uid="{00000000-0006-0000-0400-00000C000000}">
      <text>
        <r>
          <rPr>
            <b/>
            <sz val="8"/>
            <color indexed="81"/>
            <rFont val="Tahoma"/>
            <family val="2"/>
          </rPr>
          <t xml:space="preserve">COLA refers to the Non-Foreign Cost of Living Allowance federal workers receive when employed outside the continental U.S.
</t>
        </r>
      </text>
    </comment>
    <comment ref="G25" authorId="1" shapeId="0" xr:uid="{00000000-0006-0000-0400-00000D000000}">
      <text>
        <r>
          <rPr>
            <b/>
            <sz val="8"/>
            <color indexed="81"/>
            <rFont val="Tahoma"/>
            <family val="2"/>
          </rPr>
          <t xml:space="preserve">OT PAY refers to overtime pay earned for all hours beyond 106.  On your LES, it is referred to as "OT IN TOUR."
</t>
        </r>
      </text>
    </comment>
    <comment ref="C26" authorId="1" shapeId="0" xr:uid="{00000000-0006-0000-0400-00000E000000}">
      <text>
        <r>
          <rPr>
            <b/>
            <sz val="8"/>
            <color indexed="81"/>
            <rFont val="Tahoma"/>
            <family val="2"/>
          </rPr>
          <t xml:space="preserve">PAY PERIOD refers to the actual gross pay you should receive each pay period.  It is derived by adding FF and OT pay together plus COLA (if applicable).
</t>
        </r>
      </text>
    </comment>
    <comment ref="G26" authorId="1" shapeId="0" xr:uid="{00000000-0006-0000-0400-00000F000000}">
      <text>
        <r>
          <rPr>
            <b/>
            <sz val="8"/>
            <color indexed="81"/>
            <rFont val="Tahoma"/>
            <family val="2"/>
          </rPr>
          <t>OT RATE refers to 1 1/2 times the FF hourly rate.  It is less than GS overtime.</t>
        </r>
      </text>
    </comment>
    <comment ref="C27" authorId="1" shapeId="0" xr:uid="{00000000-0006-0000-0400-000010000000}">
      <text>
        <r>
          <rPr>
            <b/>
            <sz val="8"/>
            <color indexed="81"/>
            <rFont val="Tahoma"/>
            <family val="2"/>
          </rPr>
          <t xml:space="preserve">ANNUAL PAY refers to the actual gross pay you should receive for 26 or 27 (if applicable) pay periods.  
</t>
        </r>
      </text>
    </comment>
    <comment ref="G27" authorId="1" shapeId="0" xr:uid="{00000000-0006-0000-0400-000011000000}">
      <text>
        <r>
          <rPr>
            <b/>
            <sz val="8"/>
            <color indexed="81"/>
            <rFont val="Tahoma"/>
            <family val="2"/>
          </rPr>
          <t xml:space="preserve">COLA refers to the Non-Foreign Cost of Living Allowance federal workers receive when employed outside the continental U.S.
</t>
        </r>
      </text>
    </comment>
    <comment ref="C28" authorId="1" shapeId="0" xr:uid="{00000000-0006-0000-0400-000012000000}">
      <text>
        <r>
          <rPr>
            <b/>
            <sz val="8"/>
            <color indexed="81"/>
            <rFont val="Tahoma"/>
            <family val="2"/>
          </rPr>
          <t xml:space="preserve">FF BASE PAY refers to the "True Base Pay" of a federal firefighter.  It is the base pay that is credible for retirement, TSP, life insurance, and other purposes.  This is the amount that will be used to calculate your "High 3" salary.
</t>
        </r>
      </text>
    </comment>
    <comment ref="G28" authorId="1" shapeId="0" xr:uid="{00000000-0006-0000-0400-000013000000}">
      <text>
        <r>
          <rPr>
            <b/>
            <sz val="8"/>
            <color indexed="81"/>
            <rFont val="Tahoma"/>
            <family val="2"/>
          </rPr>
          <t>PAY PERIOD refers to the actual gross pay you should receive each pay period.  It is derived by adding GS, FF, and OT pay together plus COLA (if applicable).</t>
        </r>
      </text>
    </comment>
    <comment ref="G29" authorId="1" shapeId="0" xr:uid="{00000000-0006-0000-0400-000014000000}">
      <text>
        <r>
          <rPr>
            <b/>
            <sz val="8"/>
            <color indexed="81"/>
            <rFont val="Tahoma"/>
            <family val="2"/>
          </rPr>
          <t xml:space="preserve">ANNUAL PAY refers to the actual gross pay you should receive for 26 or 27 (if applicable) pay periods.  
</t>
        </r>
      </text>
    </comment>
    <comment ref="G30" authorId="1" shapeId="0" xr:uid="{00000000-0006-0000-0400-000015000000}">
      <text>
        <r>
          <rPr>
            <b/>
            <sz val="8"/>
            <color indexed="81"/>
            <rFont val="Tahoma"/>
            <family val="2"/>
          </rPr>
          <t xml:space="preserve">FF BASE PAY refers to the "True Base Pay" of a federal firefighter.  It is the base pay that is credible for retirement, TSP, life insurance, and other purposes.  This is the amount that will be used to calculate your "High 3" salary.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Anthony J Fanchi</author>
  </authors>
  <commentList>
    <comment ref="C7" authorId="0" shapeId="0" xr:uid="{00000000-0006-0000-0600-000001000000}">
      <text>
        <r>
          <rPr>
            <b/>
            <sz val="8"/>
            <color indexed="81"/>
            <rFont val="Tahoma"/>
            <family val="2"/>
          </rPr>
          <t xml:space="preserve">GS BASE PAY refers to the amount listed in block 7 of your LES and is used by this program to calculate hourly rates only!  It is </t>
        </r>
        <r>
          <rPr>
            <b/>
            <u/>
            <sz val="8"/>
            <color indexed="81"/>
            <rFont val="Tahoma"/>
            <family val="2"/>
          </rPr>
          <t>not</t>
        </r>
        <r>
          <rPr>
            <b/>
            <sz val="8"/>
            <color indexed="81"/>
            <rFont val="Tahoma"/>
            <family val="2"/>
          </rPr>
          <t xml:space="preserve"> a federal firefighter's true base pay and should not be used for calculating retirement, TSP, life insurance, etc.</t>
        </r>
      </text>
    </comment>
    <comment ref="C8" authorId="0" shapeId="0" xr:uid="{00000000-0006-0000-0600-000002000000}">
      <text>
        <r>
          <rPr>
            <b/>
            <sz val="8"/>
            <color indexed="81"/>
            <rFont val="Tahoma"/>
            <family val="2"/>
          </rPr>
          <t xml:space="preserve">FF PAY refers to the amount earned for 106 hours a pay period (53 a week).  It is approximately the same pay 40-hour a week employees earn.  On your LES, it is referred to as "REGULAR PAY."
</t>
        </r>
      </text>
    </comment>
    <comment ref="C9" authorId="0" shapeId="0" xr:uid="{00000000-0006-0000-0600-000003000000}">
      <text>
        <r>
          <rPr>
            <b/>
            <sz val="8"/>
            <color indexed="81"/>
            <rFont val="Tahoma"/>
            <family val="2"/>
          </rPr>
          <t xml:space="preserve">FF RATE refers to the hourly pay actually received for the first 106 hours.  It is less than the normal GS rate.
</t>
        </r>
      </text>
    </comment>
    <comment ref="C10" authorId="0" shapeId="0" xr:uid="{00000000-0006-0000-0600-000004000000}">
      <text>
        <r>
          <rPr>
            <b/>
            <sz val="8"/>
            <color indexed="81"/>
            <rFont val="Tahoma"/>
            <family val="2"/>
          </rPr>
          <t xml:space="preserve">OT PAY refers to overtime pay earned for all hours beyond 106.  On your LES, it is referred to as "OT IN TOUR."
</t>
        </r>
      </text>
    </comment>
    <comment ref="C11" authorId="0" shapeId="0" xr:uid="{00000000-0006-0000-0600-000005000000}">
      <text>
        <r>
          <rPr>
            <b/>
            <sz val="8"/>
            <color indexed="81"/>
            <rFont val="Tahoma"/>
            <family val="2"/>
          </rPr>
          <t>OT RATE refers to 1 1/2 times the FF hourly rate.  It is less than GS overtime.</t>
        </r>
      </text>
    </comment>
    <comment ref="C12" authorId="0" shapeId="0" xr:uid="{00000000-0006-0000-0600-000006000000}">
      <text>
        <r>
          <rPr>
            <b/>
            <sz val="8"/>
            <color indexed="81"/>
            <rFont val="Tahoma"/>
            <family val="2"/>
          </rPr>
          <t xml:space="preserve">COLA refers to the Non-Foreign Cost of Living Allowance federal workers receive when employed outside the continental U.S.
</t>
        </r>
      </text>
    </comment>
    <comment ref="C13" authorId="0" shapeId="0" xr:uid="{00000000-0006-0000-0600-000007000000}">
      <text>
        <r>
          <rPr>
            <b/>
            <sz val="8"/>
            <color indexed="81"/>
            <rFont val="Tahoma"/>
            <family val="2"/>
          </rPr>
          <t xml:space="preserve">PAY PERIOD refers to the actual gross pay you should receive each pay period.  It is derived by adding FF and OT pay together plus COLA (if applicable).
</t>
        </r>
      </text>
    </comment>
    <comment ref="C14" authorId="0" shapeId="0" xr:uid="{00000000-0006-0000-0600-000008000000}">
      <text>
        <r>
          <rPr>
            <b/>
            <sz val="8"/>
            <color indexed="81"/>
            <rFont val="Tahoma"/>
            <family val="2"/>
          </rPr>
          <t xml:space="preserve">ANNUAL PAY refers to the actual gross pay you should receive for 26 pay periods.  
</t>
        </r>
      </text>
    </comment>
    <comment ref="C15" authorId="0" shapeId="0" xr:uid="{00000000-0006-0000-0600-000009000000}">
      <text>
        <r>
          <rPr>
            <b/>
            <sz val="8"/>
            <color indexed="81"/>
            <rFont val="Tahoma"/>
            <family val="2"/>
          </rPr>
          <t xml:space="preserve">FF BASE PAY refers to the "True Base Pay" of a federal firefighter.  It is the base pay that is credible for retirement, TSP, life insurance, and other purposes.  This is the amount that will be used to calculate your "High 3" salary.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Anthony J Fanchi</author>
  </authors>
  <commentList>
    <comment ref="C7" authorId="0" shapeId="0" xr:uid="{00000000-0006-0000-0700-000001000000}">
      <text>
        <r>
          <rPr>
            <b/>
            <sz val="8"/>
            <color indexed="81"/>
            <rFont val="Tahoma"/>
            <family val="2"/>
          </rPr>
          <t xml:space="preserve">GS BASE PAY refers to the amount listed in block 7 of your LES and is used by this program to calculate hourly rates only!  It is </t>
        </r>
        <r>
          <rPr>
            <b/>
            <u/>
            <sz val="8"/>
            <color indexed="81"/>
            <rFont val="Tahoma"/>
            <family val="2"/>
          </rPr>
          <t>not</t>
        </r>
        <r>
          <rPr>
            <b/>
            <sz val="8"/>
            <color indexed="81"/>
            <rFont val="Tahoma"/>
            <family val="2"/>
          </rPr>
          <t xml:space="preserve"> a federal firefighter's true base pay and should not be used for calculating retirement, TSP, life insurance, etc.</t>
        </r>
      </text>
    </comment>
    <comment ref="C8" authorId="0" shapeId="0" xr:uid="{00000000-0006-0000-0700-000002000000}">
      <text>
        <r>
          <rPr>
            <b/>
            <sz val="8"/>
            <color indexed="81"/>
            <rFont val="Tahoma"/>
            <family val="2"/>
          </rPr>
          <t xml:space="preserve">GS PAY refers to amount earned for the regular 80 hours a pay period (40 a week).  On your LES, it is referred to as "REGULAR PAY."
</t>
        </r>
      </text>
    </comment>
    <comment ref="C9" authorId="0" shapeId="0" xr:uid="{00000000-0006-0000-0700-000003000000}">
      <text>
        <r>
          <rPr>
            <b/>
            <sz val="8"/>
            <color indexed="81"/>
            <rFont val="Tahoma"/>
            <family val="2"/>
          </rPr>
          <t xml:space="preserve">GS RATE refers to the hourly pay actually received for those 80 hours.  It is the normal GS rate.
</t>
        </r>
      </text>
    </comment>
    <comment ref="C10" authorId="0" shapeId="0" xr:uid="{00000000-0006-0000-0700-000004000000}">
      <text>
        <r>
          <rPr>
            <b/>
            <sz val="8"/>
            <color indexed="81"/>
            <rFont val="Tahoma"/>
            <family val="2"/>
          </rPr>
          <t xml:space="preserve">FF PAY refers to the amount earned for 26 hours a pay period (hours 41 to 53 a week).  On your LES, it is also referred to as "REGULAR PAY."
</t>
        </r>
      </text>
    </comment>
    <comment ref="C11" authorId="0" shapeId="0" xr:uid="{00000000-0006-0000-0700-000005000000}">
      <text>
        <r>
          <rPr>
            <b/>
            <sz val="8"/>
            <color indexed="81"/>
            <rFont val="Tahoma"/>
            <family val="2"/>
          </rPr>
          <t>FF RATE refers to the hourly pay actually received for those 26 hours.  It is the same as shift firefighters of equal grade and step receive.</t>
        </r>
      </text>
    </comment>
    <comment ref="C12" authorId="0" shapeId="0" xr:uid="{00000000-0006-0000-0700-000006000000}">
      <text>
        <r>
          <rPr>
            <b/>
            <sz val="8"/>
            <color indexed="81"/>
            <rFont val="Tahoma"/>
            <family val="2"/>
          </rPr>
          <t xml:space="preserve">OT PAY refers to overtime pay earned for all hours beyond 106.  On your LES, it is referred to as "OT IN TOUR."
</t>
        </r>
      </text>
    </comment>
    <comment ref="C13" authorId="0" shapeId="0" xr:uid="{00000000-0006-0000-0700-000007000000}">
      <text>
        <r>
          <rPr>
            <b/>
            <sz val="8"/>
            <color indexed="81"/>
            <rFont val="Tahoma"/>
            <family val="2"/>
          </rPr>
          <t>OT RATE refers to 1 1/2 times the FF hourly rate.  It is less than GS overtime.</t>
        </r>
      </text>
    </comment>
    <comment ref="C14" authorId="0" shapeId="0" xr:uid="{00000000-0006-0000-0700-000008000000}">
      <text>
        <r>
          <rPr>
            <b/>
            <sz val="8"/>
            <color indexed="81"/>
            <rFont val="Tahoma"/>
            <family val="2"/>
          </rPr>
          <t xml:space="preserve">COLA refers to the Non-Foreign Cost of Living Allowance federal workers receive when employed outside the continental U.S.
</t>
        </r>
      </text>
    </comment>
    <comment ref="C15" authorId="0" shapeId="0" xr:uid="{00000000-0006-0000-0700-000009000000}">
      <text>
        <r>
          <rPr>
            <b/>
            <sz val="8"/>
            <color indexed="81"/>
            <rFont val="Tahoma"/>
            <family val="2"/>
          </rPr>
          <t>PAY PERIOD refers to the actual gross pay you should receive each pay period.  It is derived by adding GS, FF, and OT pay together plus COLA (if applicable).</t>
        </r>
      </text>
    </comment>
    <comment ref="C16" authorId="0" shapeId="0" xr:uid="{00000000-0006-0000-0700-00000A000000}">
      <text>
        <r>
          <rPr>
            <b/>
            <sz val="8"/>
            <color indexed="81"/>
            <rFont val="Tahoma"/>
            <family val="2"/>
          </rPr>
          <t xml:space="preserve">ANNUAL PAY refers to the actual gross pay you should receive for 26 pay periods.  
</t>
        </r>
      </text>
    </comment>
    <comment ref="C17" authorId="0" shapeId="0" xr:uid="{00000000-0006-0000-0700-00000B000000}">
      <text>
        <r>
          <rPr>
            <b/>
            <sz val="8"/>
            <color indexed="81"/>
            <rFont val="Tahoma"/>
            <family val="2"/>
          </rPr>
          <t xml:space="preserve">FF BASE PAY refers to the "True Base Pay" of a federal firefighter.  It is the base pay that is credible for retirement, TSP, life insurance, and other purposes.  This is the amount that will be used to calculate your "High 3" salary.
</t>
        </r>
      </text>
    </comment>
  </commentList>
</comments>
</file>

<file path=xl/sharedStrings.xml><?xml version="1.0" encoding="utf-8"?>
<sst xmlns="http://schemas.openxmlformats.org/spreadsheetml/2006/main" count="552" uniqueCount="186">
  <si>
    <t>GRADE</t>
  </si>
  <si>
    <t>TYPE</t>
  </si>
  <si>
    <t>STEP 1</t>
  </si>
  <si>
    <t>STEP 2</t>
  </si>
  <si>
    <t>STEP 3</t>
  </si>
  <si>
    <t>STEP 4</t>
  </si>
  <si>
    <t>STEP 5</t>
  </si>
  <si>
    <t>STEP 6</t>
  </si>
  <si>
    <t>STEP 7</t>
  </si>
  <si>
    <t>STEP 8</t>
  </si>
  <si>
    <t>STEP 9</t>
  </si>
  <si>
    <t>STEP 10</t>
  </si>
  <si>
    <t>GS 7</t>
  </si>
  <si>
    <t>FF RATE</t>
  </si>
  <si>
    <t>OT RATE</t>
  </si>
  <si>
    <t>GS 8</t>
  </si>
  <si>
    <t>GS 11</t>
  </si>
  <si>
    <t>PAY PERIOD</t>
  </si>
  <si>
    <t>GS 6</t>
  </si>
  <si>
    <t xml:space="preserve"> </t>
  </si>
  <si>
    <t>GS RATE</t>
  </si>
  <si>
    <t>GS 9</t>
  </si>
  <si>
    <t>GS 3</t>
  </si>
  <si>
    <t>GS 4</t>
  </si>
  <si>
    <t>GS 5</t>
  </si>
  <si>
    <t>GS 10</t>
  </si>
  <si>
    <t>GS 12</t>
  </si>
  <si>
    <t>Grade</t>
  </si>
  <si>
    <t>Annual Rates for Steps (in dollars)</t>
  </si>
  <si>
    <t> </t>
  </si>
  <si>
    <t>GS BASE PAY</t>
  </si>
  <si>
    <t>GS 13</t>
  </si>
  <si>
    <t>Overtime rate is capped at GS 10 step 1-True Overtime.  Currently:</t>
  </si>
  <si>
    <t>ANNUAL PAY</t>
  </si>
  <si>
    <t>YEAR</t>
  </si>
  <si>
    <t>FEDERAL FIREFIGHTER PAY CHART</t>
  </si>
  <si>
    <t>This is NOT an official pay chart.</t>
  </si>
  <si>
    <t>GENERAL SCHEDULE PAY CHART</t>
  </si>
  <si>
    <t>Shift Schedule:</t>
  </si>
  <si>
    <t>One night a week:</t>
  </si>
  <si>
    <t>Hours</t>
  </si>
  <si>
    <t>FF PAY</t>
  </si>
  <si>
    <t>OT  PAY</t>
  </si>
  <si>
    <t>HOURS</t>
  </si>
  <si>
    <t>GS PAY</t>
  </si>
  <si>
    <t>RAISE</t>
  </si>
  <si>
    <t>COLA (If used)</t>
  </si>
  <si>
    <t>Steps</t>
  </si>
  <si>
    <t>GS-3</t>
  </si>
  <si>
    <t>GS-4</t>
  </si>
  <si>
    <t>GS-5</t>
  </si>
  <si>
    <t>GS-6</t>
  </si>
  <si>
    <t>GS-7</t>
  </si>
  <si>
    <t>GS-8</t>
  </si>
  <si>
    <t>GS-9</t>
  </si>
  <si>
    <t>GS-10</t>
  </si>
  <si>
    <t>GS-11</t>
  </si>
  <si>
    <t>GS-12</t>
  </si>
  <si>
    <t>GS-13</t>
  </si>
  <si>
    <t>Year</t>
  </si>
  <si>
    <t>Raise</t>
  </si>
  <si>
    <t>GENERAL SCHEDULE PAY - NO LOCALITY</t>
  </si>
  <si>
    <t>Developed by Anthony J. Fanchi</t>
  </si>
  <si>
    <t>U.S. Virgin Islands</t>
  </si>
  <si>
    <t>Guam and Northern Mariana Islands</t>
  </si>
  <si>
    <t>Puerto Rico</t>
  </si>
  <si>
    <t>Set for Rest of US initially.  Change as needed.</t>
  </si>
  <si>
    <t>Locality Rate:</t>
  </si>
  <si>
    <t>Basic Pay (No Locality or COLA)</t>
  </si>
  <si>
    <t>Locality/COLA Area:</t>
  </si>
  <si>
    <t>Applicable year:</t>
  </si>
  <si>
    <t>FF BASE PAY</t>
  </si>
  <si>
    <t>should not be used for calculating retirement, TSP, life insurance, etc.</t>
  </si>
  <si>
    <t xml:space="preserve">FF BASE PAY refers to the "True Base Pay" of a federal firefighter.  It is the base pay that is credible for retirement, TSP, life insurance, and other purposes.  This is the </t>
  </si>
  <si>
    <t>amount that will be used to calculate your "High 3" salary.</t>
  </si>
  <si>
    <r>
      <t xml:space="preserve">GS BASE PAY refers to the amount listed in block 7 of your LES and is used by this program to calculate hourly rates only!  It is </t>
    </r>
    <r>
      <rPr>
        <b/>
        <u/>
        <sz val="10"/>
        <rFont val="Arial"/>
        <family val="2"/>
      </rPr>
      <t>not</t>
    </r>
    <r>
      <rPr>
        <b/>
        <sz val="10"/>
        <rFont val="Arial"/>
        <family val="2"/>
      </rPr>
      <t xml:space="preserve"> a federal firefighter's true base pay and </t>
    </r>
  </si>
  <si>
    <t>Special Note:  This chart is for reference only!  It should match the pay charts on OPM's website.  It does not reflect the pay of a federal firefighter.</t>
  </si>
  <si>
    <t>Examples</t>
  </si>
  <si>
    <t>FEDERAL FIREFIGHTER PAY PROGRAM</t>
  </si>
  <si>
    <t>COLA</t>
  </si>
  <si>
    <t>American Samoa</t>
  </si>
  <si>
    <t>Johnston and Sand Island</t>
  </si>
  <si>
    <t>Midway Islands</t>
  </si>
  <si>
    <t>Wake Island</t>
  </si>
  <si>
    <t>I don't need to read all this stuff!  Take me to the pay charts!</t>
  </si>
  <si>
    <t>The following sections will provide the information necessary to change or update the above settings.</t>
  </si>
  <si>
    <t>Rest of the United States</t>
  </si>
  <si>
    <t>Locality Pay Rate:</t>
  </si>
  <si>
    <t xml:space="preserve"> Make sure the manual entries are blank if not applicable.</t>
  </si>
  <si>
    <t>Manual Locality and COLA Rate Entry Forms</t>
  </si>
  <si>
    <t xml:space="preserve"> Caution: These entries will replace the above rates.</t>
  </si>
  <si>
    <r>
      <t>SAVING YOUR CHANGES:</t>
    </r>
    <r>
      <rPr>
        <sz val="10"/>
        <rFont val="Arial"/>
        <family val="2"/>
      </rPr>
      <t xml:space="preserve">  If you are making temporary changes only, do not click save when you are done.  When you exit, click "NO" when it asks you if you want to save the changes.  This way the file will revert back to the original settings.  If your changes are permanent, I recommend using the "SAVE AS" feature and then giving the new file a different name, such as the locality area.  Again, this will preserve the original file in case there is a problem with the new one.  It is always nice to have the original to fall back on.</t>
    </r>
  </si>
  <si>
    <t>Post</t>
  </si>
  <si>
    <t>Return to Start Page</t>
  </si>
  <si>
    <t>COLA Rate:</t>
  </si>
  <si>
    <t>Shift Firefighters</t>
  </si>
  <si>
    <t>Chief / Training / Inspectors</t>
  </si>
  <si>
    <r>
      <t xml:space="preserve">COLA vs. Post Differential:  </t>
    </r>
    <r>
      <rPr>
        <sz val="10"/>
        <rFont val="Arial"/>
        <family val="2"/>
      </rPr>
      <t>Some areas receive a Post Differential rather than a COLA, and it may be possible to receive both.  When both rates apply, this program combines the two under one COLA rate, which is capped at 25%.  If your actual rate(s) differs, you may manually enter the correct rate below.</t>
    </r>
  </si>
  <si>
    <t>Annual Basic Pay:</t>
  </si>
  <si>
    <t>PAY</t>
  </si>
  <si>
    <t>Chief, Training, Inspectors</t>
  </si>
  <si>
    <t># of pay periods:</t>
  </si>
  <si>
    <r>
      <t>WORK SCHEDULE:</t>
    </r>
    <r>
      <rPr>
        <sz val="10"/>
        <rFont val="Arial"/>
        <family val="2"/>
      </rPr>
      <t xml:space="preserve">  There are two main firefighter pay charts--one for 24 hour shift firefighters, and one for the firefighters who work a regular 40 hour workweek but also stay one night a week (Fire Chief, Fire Inspectors, etc).  There are three main hourly schedules--72 hours a week, 60 hours, and 56 hours.  There are also a few Firefighters who work 84 hours a week (168/pay period).  Firefighters working less than 53 hours a week are not covered by these charts.  To change an hourly schedule, click on the appropriate space below and select the new hours.</t>
    </r>
  </si>
  <si>
    <t>Do you receive a Post Differential?</t>
  </si>
  <si>
    <t>Yes</t>
  </si>
  <si>
    <t>No</t>
  </si>
  <si>
    <t>Frozen COLA</t>
  </si>
  <si>
    <t>Adjusted COLA</t>
  </si>
  <si>
    <t>COLA/Post Diff Rate:</t>
  </si>
  <si>
    <t>Please note that actual COLA rates will be less than OPM has published due to the Locality transition.</t>
  </si>
  <si>
    <t>Alaska-Anchorage-Fairbanks-Juneau</t>
  </si>
  <si>
    <t>Alaska-Rest of Alaska</t>
  </si>
  <si>
    <t>Hawaii-(County)</t>
  </si>
  <si>
    <t>Hawaii-Honolulu-Kauai-Maui and Kalawao</t>
  </si>
  <si>
    <t>Locality Pay Area</t>
  </si>
  <si>
    <t>Locality Rate</t>
  </si>
  <si>
    <t>GS-14</t>
  </si>
  <si>
    <t>GS 14</t>
  </si>
  <si>
    <t xml:space="preserve">GS BASE PAY refers to the amount listed in block 7 of your LES and is used by this program to calculate hourly rates only!  It is not a federal firefighter's true base pay and </t>
  </si>
  <si>
    <t>PAY RETENTION &amp; SPECIAL RATES</t>
  </si>
  <si>
    <t>*Note: This page is for personnel who are paid a specific salary not covered by the GS pay tables*</t>
  </si>
  <si>
    <t>This form is used to enter any special salary you may receive.  Once the "Start Page" settings are correct, you can use this form to calculate your firefighter pay.  If you do not receive any locality pay and/or COLA, you should select the "Basic Pay (No Locality or COLA)" tab on the "Start Page" or manually enter 0.0% for each rate.  If your actual rate(s) is different then the one(s) provided for your area, manually enter the correct rate(s) on the "Start Page".</t>
  </si>
  <si>
    <r>
      <t>ANNUAL BASIC PAY:</t>
    </r>
    <r>
      <rPr>
        <sz val="10"/>
        <rFont val="Arial"/>
        <family val="2"/>
      </rPr>
      <t xml:space="preserve">  Please enter the amount of your annual pay, </t>
    </r>
    <r>
      <rPr>
        <b/>
        <sz val="10"/>
        <rFont val="Arial"/>
        <family val="2"/>
      </rPr>
      <t>NOT</t>
    </r>
    <r>
      <rPr>
        <sz val="10"/>
        <rFont val="Arial"/>
        <family val="2"/>
      </rPr>
      <t xml:space="preserve"> including Locality Pay, Local Market Supplement or any firefighter overtime.</t>
    </r>
  </si>
  <si>
    <t>REG BASE PAY</t>
  </si>
  <si>
    <t>REG PAY</t>
  </si>
  <si>
    <t>REG RATE</t>
  </si>
  <si>
    <t>Pay Retention &amp; Special Rates</t>
  </si>
  <si>
    <t>Note:  Basic pay will vary from employee to employee.  You will have to refer to your latest Form 50, career brief or recent LES to find your current basic pay.</t>
  </si>
  <si>
    <r>
      <t>FILE SPREADSHEETS:</t>
    </r>
    <r>
      <rPr>
        <sz val="10"/>
        <rFont val="Arial"/>
        <family val="2"/>
      </rPr>
      <t xml:space="preserve">  Once you have made any necessary adjustments, you can proceed to the pay charts.  There are five spreadsheets altogether, the first being this "Start Page."  The others are labeled "Pay Retention &amp; Special Rates", "GS Pay Scale", "Shift Firefighters", "Chief, Training, Inspectors."  To view a chart, click on the appropriate tab located along the bottom of the screen.  Once you have the chart you want and have verified the settings are correct, you can print several hardcopies to hand out.  If you need to make further changes, just return to the "Start Page" to enter the new settings.</t>
    </r>
  </si>
  <si>
    <r>
      <t>ANNUAL RAISES:</t>
    </r>
    <r>
      <rPr>
        <sz val="10"/>
        <rFont val="Arial"/>
        <family val="2"/>
      </rPr>
      <t xml:space="preserve">  You can estimate future salaries in this section by entering annual raises in the blocks below.  For simplicity, enter the combined rate for both the General Increase and the Locality increase.  </t>
    </r>
    <r>
      <rPr>
        <b/>
        <sz val="10"/>
        <rFont val="Arial"/>
        <family val="2"/>
      </rPr>
      <t xml:space="preserve">Please Note: </t>
    </r>
    <r>
      <rPr>
        <sz val="10"/>
        <rFont val="Arial"/>
        <family val="2"/>
      </rPr>
      <t>The size of the raises will vary based on locality area.  OPM will post all the combined rates.  Updated programs should become available as official raises are approved.</t>
    </r>
  </si>
  <si>
    <r>
      <t>Changing Locality and/or COLA Rates: C</t>
    </r>
    <r>
      <rPr>
        <sz val="10"/>
        <rFont val="Arial"/>
        <family val="2"/>
      </rPr>
      <t>lick on the tab below to select from the list of all the locality areas.  If you are unsure of your locality area, contact your payroll adviser for assistance.  Once this information has been changed, the pay charts will automatically reflect the correct locality rates.  If your actual rate(s) differs, you may manually enter the correct rate below.</t>
    </r>
  </si>
  <si>
    <r>
      <t xml:space="preserve">Non-foreign Area Cost-of-Living Allowances:  </t>
    </r>
    <r>
      <rPr>
        <sz val="10"/>
        <color indexed="10"/>
        <rFont val="Arial"/>
        <family val="2"/>
      </rPr>
      <t>The Non-Foreign Area Retirement Equity Assurance Act of 2009 changed non-foreign areas such as Alaska, Hawaii, and the United States territories, e.g. Puerto Rico, Guam, U.S. Virgin Islands, etc. to Locality Pay.  COLA will slowly be phased out as the individual Locality rates increase.</t>
    </r>
  </si>
  <si>
    <t>Locality Rates are available in Schedule 9 of the Executive Order:</t>
  </si>
  <si>
    <t xml:space="preserve">Albuquerque-Santa Fe-Las Vegas, NM </t>
  </si>
  <si>
    <t xml:space="preserve">Atlanta—Athens-Clarke County—Sandy Springs, GA-AL </t>
  </si>
  <si>
    <t xml:space="preserve">Austin-Round Rock, TX </t>
  </si>
  <si>
    <t xml:space="preserve">Buffalo-Cheektowaga, NY </t>
  </si>
  <si>
    <t xml:space="preserve">Charlotte-Concord, NC-SC </t>
  </si>
  <si>
    <t xml:space="preserve">Chicago-Naperville, IL-IN-WI </t>
  </si>
  <si>
    <t xml:space="preserve">Cincinnati-Wilmington-Maysville, OH-KY-IN </t>
  </si>
  <si>
    <t xml:space="preserve">Cleveland-Akron-Canton, OH </t>
  </si>
  <si>
    <t xml:space="preserve">Colorado Springs, CO </t>
  </si>
  <si>
    <t xml:space="preserve">Columbus-Marion-Zanesville, OH </t>
  </si>
  <si>
    <t xml:space="preserve">Dallas-Fort Worth, TX-OK </t>
  </si>
  <si>
    <t xml:space="preserve">Davenport-Moline, IA-IL </t>
  </si>
  <si>
    <t xml:space="preserve">Dayton-Springfield-Sidney, OH </t>
  </si>
  <si>
    <t xml:space="preserve">Denver-Aurora, CO </t>
  </si>
  <si>
    <t xml:space="preserve">Detroit-Warren-Ann Arbor, MI </t>
  </si>
  <si>
    <t xml:space="preserve">Harrisburg-Lebanon, PA </t>
  </si>
  <si>
    <t xml:space="preserve">Hartford-West Hartford, CT-MA </t>
  </si>
  <si>
    <t xml:space="preserve">Houston-The Woodlands, TX </t>
  </si>
  <si>
    <t xml:space="preserve">Huntsville-Decatur-Albertville, AL </t>
  </si>
  <si>
    <t xml:space="preserve">Indianapolis-Carmel-Muncie, IN </t>
  </si>
  <si>
    <t xml:space="preserve">Kansas City-Overland Park-Kansas City, MO-KS </t>
  </si>
  <si>
    <t xml:space="preserve">Laredo, TX </t>
  </si>
  <si>
    <t xml:space="preserve">Las Vegas-Henderson, NV-AZ </t>
  </si>
  <si>
    <t xml:space="preserve">Los Angeles-Long Beach, CA </t>
  </si>
  <si>
    <t xml:space="preserve">Miami-Fort Lauderdale-Port St. Lucie, FL </t>
  </si>
  <si>
    <t xml:space="preserve">Milwaukee-Racine-Waukesha, WI </t>
  </si>
  <si>
    <t xml:space="preserve">Minneapolis-St. Paul, MN-WI </t>
  </si>
  <si>
    <t xml:space="preserve">New York-Newark, NY-NJ-CT-PA </t>
  </si>
  <si>
    <t xml:space="preserve">Palm Bay-Melbourne-Titusville, FL </t>
  </si>
  <si>
    <t xml:space="preserve">Philadelphia-Reading-Camden, PA-NJ-DE-MD </t>
  </si>
  <si>
    <t xml:space="preserve">Phoenix-Mesa-Scottsdale, AZ </t>
  </si>
  <si>
    <t xml:space="preserve">Pittsburgh-New Castle-Weirton, PA-OH-WV </t>
  </si>
  <si>
    <t xml:space="preserve">Portland-Vancouver-Salem, OR-WA </t>
  </si>
  <si>
    <t xml:space="preserve">Raleigh-Durham-Chapel Hill, NC </t>
  </si>
  <si>
    <t xml:space="preserve">Richmond, VA </t>
  </si>
  <si>
    <t xml:space="preserve">Sacramento-Roseville, CA-NV </t>
  </si>
  <si>
    <t xml:space="preserve">San Diego-Carlsbad, CA </t>
  </si>
  <si>
    <t xml:space="preserve">San Jose-San Francisco-Oakland, CA </t>
  </si>
  <si>
    <t xml:space="preserve">Seattle-Tacoma, WA </t>
  </si>
  <si>
    <t xml:space="preserve">St. Louis-St. Charles-Farmington, MO-IL </t>
  </si>
  <si>
    <t xml:space="preserve">Tucson-Nogales, AZ </t>
  </si>
  <si>
    <t xml:space="preserve">Washington-Baltimore-Arlington, DC-MD-VA-WV-PA </t>
  </si>
  <si>
    <r>
      <t xml:space="preserve">NSPS PAY RETENTION &amp; SPECIAL PAY RATES:  </t>
    </r>
    <r>
      <rPr>
        <sz val="10"/>
        <color theme="1"/>
        <rFont val="Arial"/>
        <family val="2"/>
      </rPr>
      <t xml:space="preserve">For the firefighters who have pay retention after NSPS or earn a special rate base pay, a separate spreadsheet is included.  This sheet allows users to manually enter their appropriate base pay.  To enter your salary, first complete any applicable changes below, then proceed to the next spreadsheet, labeled "Pay Retention &amp; Special Rates" for more info.  </t>
    </r>
  </si>
  <si>
    <t>Birmingham-Hoover-Talladega, AL</t>
  </si>
  <si>
    <t>Albany-Schenectady, NY-MA</t>
  </si>
  <si>
    <t xml:space="preserve">Boston-Worcester-Providence, MA-RI-NH-ME </t>
  </si>
  <si>
    <t>Burlington-South Burlington, VT</t>
  </si>
  <si>
    <t>Omaha-Council Bluffs-Fremont, NE-IA</t>
  </si>
  <si>
    <t>San Antonio-New Braunfels-Pearsall, TX</t>
  </si>
  <si>
    <t>Virginia Beach-Norfolk, VA-NC</t>
  </si>
  <si>
    <t>COLA/Post Diff</t>
  </si>
  <si>
    <t>Post Differential</t>
  </si>
  <si>
    <t>Executive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</si>
</sst>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
  </numFmts>
  <fonts count="51" x14ac:knownFonts="1">
    <font>
      <sz val="10"/>
      <name val="Arial"/>
    </font>
    <font>
      <sz val="10"/>
      <name val="Arial"/>
      <family val="2"/>
    </font>
    <font>
      <b/>
      <sz val="10"/>
      <name val="Arial"/>
      <family val="2"/>
    </font>
    <font>
      <sz val="5"/>
      <name val="Arial"/>
      <family val="2"/>
    </font>
    <font>
      <sz val="10"/>
      <name val="Arial"/>
      <family val="2"/>
    </font>
    <font>
      <sz val="9.9"/>
      <name val="Arial"/>
      <family val="2"/>
    </font>
    <font>
      <b/>
      <sz val="9.9"/>
      <name val="Arial"/>
      <family val="2"/>
    </font>
    <font>
      <b/>
      <i/>
      <sz val="9.9"/>
      <name val="Arial"/>
      <family val="2"/>
    </font>
    <font>
      <b/>
      <i/>
      <sz val="10"/>
      <name val="Arial"/>
      <family val="2"/>
    </font>
    <font>
      <i/>
      <sz val="10"/>
      <name val="Arial"/>
      <family val="2"/>
    </font>
    <font>
      <sz val="7"/>
      <name val="Arial"/>
      <family val="2"/>
    </font>
    <font>
      <u/>
      <sz val="10"/>
      <color indexed="12"/>
      <name val="Arial"/>
      <family val="2"/>
    </font>
    <font>
      <u/>
      <sz val="10"/>
      <name val="Arial"/>
      <family val="2"/>
    </font>
    <font>
      <b/>
      <sz val="20"/>
      <name val="Arial"/>
      <family val="2"/>
    </font>
    <font>
      <b/>
      <sz val="15"/>
      <name val="Arial"/>
      <family val="2"/>
    </font>
    <font>
      <b/>
      <u/>
      <sz val="10"/>
      <name val="Arial"/>
      <family val="2"/>
    </font>
    <font>
      <b/>
      <sz val="13.5"/>
      <name val="Arial"/>
      <family val="2"/>
    </font>
    <font>
      <sz val="10"/>
      <color indexed="8"/>
      <name val="Arial"/>
      <family val="2"/>
    </font>
    <font>
      <sz val="8"/>
      <name val="Arial"/>
      <family val="2"/>
    </font>
    <font>
      <b/>
      <sz val="10"/>
      <color indexed="10"/>
      <name val="Arial"/>
      <family val="2"/>
    </font>
    <font>
      <b/>
      <u/>
      <sz val="8"/>
      <color indexed="81"/>
      <name val="Tahoma"/>
      <family val="2"/>
    </font>
    <font>
      <b/>
      <i/>
      <u/>
      <sz val="18"/>
      <color indexed="13"/>
      <name val="Cambria"/>
      <family val="1"/>
    </font>
    <font>
      <sz val="10"/>
      <color indexed="10"/>
      <name val="Arial"/>
      <family val="2"/>
    </font>
    <font>
      <b/>
      <sz val="9"/>
      <color indexed="81"/>
      <name val="Tahoma"/>
      <family val="2"/>
    </font>
    <font>
      <sz val="9"/>
      <color indexed="81"/>
      <name val="Tahoma"/>
      <family val="2"/>
    </font>
    <font>
      <b/>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u/>
      <sz val="24"/>
      <color indexed="13"/>
      <name val="Cambria"/>
      <family val="1"/>
    </font>
    <font>
      <b/>
      <i/>
      <u/>
      <sz val="16"/>
      <color indexed="13"/>
      <name val="Cambria"/>
      <family val="1"/>
    </font>
    <font>
      <b/>
      <u/>
      <sz val="20"/>
      <name val="Arial"/>
      <family val="2"/>
    </font>
    <font>
      <b/>
      <i/>
      <sz val="14"/>
      <color indexed="10"/>
      <name val="Arial"/>
      <family val="2"/>
    </font>
    <font>
      <b/>
      <sz val="24"/>
      <name val="Arial"/>
      <family val="2"/>
    </font>
    <font>
      <u/>
      <sz val="11"/>
      <color rgb="FFFFFF00"/>
      <name val="Cambria"/>
      <family val="1"/>
      <scheme val="major"/>
    </font>
    <font>
      <b/>
      <sz val="10"/>
      <color theme="1"/>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45">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44" fontId="1"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11" fillId="0" borderId="0" applyNumberFormat="0" applyFill="0" applyBorder="0" applyAlignment="0" applyProtection="0">
      <alignment vertical="top"/>
      <protection locked="0"/>
    </xf>
    <xf numFmtId="0" fontId="36" fillId="7" borderId="1" applyNumberFormat="0" applyAlignment="0" applyProtection="0"/>
    <xf numFmtId="0" fontId="37" fillId="0" borderId="6" applyNumberFormat="0" applyFill="0" applyAlignment="0" applyProtection="0"/>
    <xf numFmtId="0" fontId="38" fillId="22" borderId="0" applyNumberFormat="0" applyBorder="0" applyAlignment="0" applyProtection="0"/>
    <xf numFmtId="0" fontId="4" fillId="23" borderId="7" applyNumberFormat="0" applyFont="0" applyAlignment="0" applyProtection="0"/>
    <xf numFmtId="0" fontId="39" fillId="20" borderId="8" applyNumberFormat="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cellStyleXfs>
  <cellXfs count="145">
    <xf numFmtId="0" fontId="0" fillId="0" borderId="0" xfId="0"/>
    <xf numFmtId="0" fontId="4" fillId="0" borderId="0" xfId="0" applyFont="1"/>
    <xf numFmtId="0" fontId="4"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4" fillId="0" borderId="11" xfId="0" applyFont="1" applyBorder="1" applyAlignment="1">
      <alignment horizontal="center" wrapText="1"/>
    </xf>
    <xf numFmtId="10" fontId="4" fillId="0" borderId="0" xfId="0" applyNumberFormat="1" applyFont="1" applyAlignment="1">
      <alignment horizontal="center"/>
    </xf>
    <xf numFmtId="0" fontId="13" fillId="0" borderId="0" xfId="0" applyFont="1" applyAlignment="1">
      <alignment horizontal="center"/>
    </xf>
    <xf numFmtId="0" fontId="13" fillId="0" borderId="0" xfId="0" applyFont="1"/>
    <xf numFmtId="0" fontId="14" fillId="0" borderId="0" xfId="0" applyFont="1" applyAlignment="1">
      <alignment horizontal="left"/>
    </xf>
    <xf numFmtId="0" fontId="2" fillId="0" borderId="0" xfId="0" applyFont="1"/>
    <xf numFmtId="0" fontId="2" fillId="0" borderId="10" xfId="0" applyFont="1" applyBorder="1" applyAlignment="1">
      <alignment horizontal="center"/>
    </xf>
    <xf numFmtId="0" fontId="2" fillId="0" borderId="13" xfId="0" applyFont="1" applyBorder="1" applyAlignment="1">
      <alignment horizontal="center"/>
    </xf>
    <xf numFmtId="0" fontId="0" fillId="0" borderId="14" xfId="0" applyBorder="1"/>
    <xf numFmtId="44" fontId="5" fillId="0" borderId="14" xfId="28" applyFont="1" applyBorder="1" applyAlignment="1">
      <alignment horizontal="center"/>
    </xf>
    <xf numFmtId="0" fontId="0" fillId="0" borderId="13" xfId="0" applyBorder="1"/>
    <xf numFmtId="44" fontId="5" fillId="0" borderId="13" xfId="28" applyFont="1" applyBorder="1" applyAlignment="1">
      <alignment horizontal="right"/>
    </xf>
    <xf numFmtId="0" fontId="0" fillId="0" borderId="15" xfId="0" applyBorder="1"/>
    <xf numFmtId="0" fontId="2" fillId="0" borderId="15" xfId="0" applyFont="1" applyBorder="1" applyAlignment="1">
      <alignment horizontal="center"/>
    </xf>
    <xf numFmtId="0" fontId="2" fillId="0" borderId="13" xfId="0" applyFont="1" applyBorder="1"/>
    <xf numFmtId="44" fontId="6" fillId="0" borderId="13" xfId="28" applyFont="1" applyBorder="1" applyAlignment="1">
      <alignment horizontal="right"/>
    </xf>
    <xf numFmtId="0" fontId="8" fillId="0" borderId="16" xfId="0" applyFont="1" applyBorder="1" applyAlignment="1">
      <alignment horizontal="right"/>
    </xf>
    <xf numFmtId="0" fontId="8" fillId="0" borderId="16" xfId="0" applyFont="1" applyBorder="1"/>
    <xf numFmtId="44" fontId="7" fillId="0" borderId="16" xfId="28" applyFont="1" applyBorder="1" applyAlignment="1">
      <alignment horizontal="right"/>
    </xf>
    <xf numFmtId="0" fontId="9" fillId="0" borderId="0" xfId="0" applyFont="1"/>
    <xf numFmtId="0" fontId="2" fillId="0" borderId="14" xfId="0" applyFont="1" applyBorder="1" applyAlignment="1">
      <alignment horizontal="center"/>
    </xf>
    <xf numFmtId="0" fontId="3" fillId="0" borderId="0" xfId="0" applyFont="1" applyAlignment="1">
      <alignment horizontal="right"/>
    </xf>
    <xf numFmtId="7" fontId="2" fillId="0" borderId="0" xfId="28" applyNumberFormat="1" applyFont="1" applyAlignment="1">
      <alignment horizontal="left"/>
    </xf>
    <xf numFmtId="0" fontId="4" fillId="0" borderId="13" xfId="0" applyFont="1" applyBorder="1"/>
    <xf numFmtId="44" fontId="4" fillId="0" borderId="13" xfId="28" applyFont="1" applyBorder="1" applyAlignment="1">
      <alignment horizontal="right"/>
    </xf>
    <xf numFmtId="44" fontId="2" fillId="0" borderId="13" xfId="28" applyFont="1" applyBorder="1" applyAlignment="1">
      <alignment horizontal="right"/>
    </xf>
    <xf numFmtId="44" fontId="8" fillId="0" borderId="16" xfId="28" applyFont="1" applyBorder="1" applyAlignment="1">
      <alignment horizontal="right"/>
    </xf>
    <xf numFmtId="0" fontId="4" fillId="0" borderId="15" xfId="0" applyFont="1" applyBorder="1"/>
    <xf numFmtId="0" fontId="8" fillId="0" borderId="0" xfId="0" applyFont="1"/>
    <xf numFmtId="0" fontId="2" fillId="0" borderId="0" xfId="0" applyFont="1" applyAlignment="1">
      <alignment horizontal="right"/>
    </xf>
    <xf numFmtId="10" fontId="4" fillId="0" borderId="0" xfId="41" applyNumberFormat="1" applyFont="1" applyAlignment="1">
      <alignment horizontal="center"/>
    </xf>
    <xf numFmtId="0" fontId="10" fillId="0" borderId="10" xfId="0" applyFont="1" applyBorder="1" applyAlignment="1">
      <alignment wrapText="1"/>
    </xf>
    <xf numFmtId="0" fontId="9" fillId="0" borderId="10" xfId="0" applyFont="1" applyBorder="1" applyAlignment="1">
      <alignment horizontal="right" wrapText="1"/>
    </xf>
    <xf numFmtId="0" fontId="9" fillId="0" borderId="10" xfId="0" applyFont="1" applyBorder="1" applyAlignment="1">
      <alignment horizontal="center" wrapText="1"/>
    </xf>
    <xf numFmtId="0" fontId="4" fillId="0" borderId="10" xfId="0"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15" fillId="0" borderId="0" xfId="0" applyFont="1"/>
    <xf numFmtId="0" fontId="2" fillId="0" borderId="0" xfId="0" applyFont="1" applyAlignment="1">
      <alignment horizontal="left"/>
    </xf>
    <xf numFmtId="0" fontId="0" fillId="0" borderId="0" xfId="0" applyAlignment="1">
      <alignment horizontal="left"/>
    </xf>
    <xf numFmtId="10" fontId="2" fillId="0" borderId="0" xfId="41" applyNumberFormat="1" applyFont="1" applyAlignment="1">
      <alignment horizontal="left"/>
    </xf>
    <xf numFmtId="0" fontId="12" fillId="0" borderId="0" xfId="0" applyFont="1" applyAlignment="1">
      <alignment horizontal="center"/>
    </xf>
    <xf numFmtId="10" fontId="4" fillId="0" borderId="0" xfId="0" applyNumberFormat="1" applyFont="1" applyAlignment="1">
      <alignment horizontal="left"/>
    </xf>
    <xf numFmtId="0" fontId="0" fillId="0" borderId="10" xfId="0" applyBorder="1" applyAlignment="1">
      <alignment horizontal="center"/>
    </xf>
    <xf numFmtId="0" fontId="12" fillId="24" borderId="0" xfId="0" applyFont="1" applyFill="1" applyAlignment="1" applyProtection="1">
      <alignment horizontal="center"/>
      <protection locked="0"/>
    </xf>
    <xf numFmtId="44" fontId="4" fillId="0" borderId="10" xfId="28" applyFont="1" applyBorder="1" applyAlignment="1">
      <alignment horizontal="center"/>
    </xf>
    <xf numFmtId="0" fontId="4" fillId="0" borderId="13" xfId="0" applyFont="1" applyBorder="1" applyAlignment="1">
      <alignment horizontal="center"/>
    </xf>
    <xf numFmtId="0" fontId="4" fillId="0" borderId="17" xfId="0" applyFont="1" applyBorder="1" applyAlignment="1">
      <alignment horizontal="center" wrapText="1"/>
    </xf>
    <xf numFmtId="0" fontId="4" fillId="0" borderId="0" xfId="0" applyFont="1" applyAlignment="1">
      <alignment horizontal="center"/>
    </xf>
    <xf numFmtId="0" fontId="9" fillId="0" borderId="17" xfId="0" applyFont="1" applyBorder="1" applyAlignment="1">
      <alignment horizontal="center" wrapText="1"/>
    </xf>
    <xf numFmtId="0" fontId="17" fillId="24" borderId="10" xfId="0" applyFont="1" applyFill="1" applyBorder="1" applyAlignment="1">
      <alignment horizontal="center" wrapText="1"/>
    </xf>
    <xf numFmtId="3" fontId="17" fillId="24" borderId="10" xfId="0" applyNumberFormat="1" applyFont="1" applyFill="1" applyBorder="1" applyAlignment="1">
      <alignment horizontal="center" wrapText="1"/>
    </xf>
    <xf numFmtId="3" fontId="4" fillId="0" borderId="10" xfId="0" applyNumberFormat="1" applyFont="1" applyBorder="1" applyAlignment="1">
      <alignment horizontal="center"/>
    </xf>
    <xf numFmtId="0" fontId="17" fillId="0" borderId="10" xfId="0" applyFont="1" applyBorder="1" applyAlignment="1">
      <alignment horizontal="center" wrapText="1"/>
    </xf>
    <xf numFmtId="3" fontId="17" fillId="0" borderId="10" xfId="0" applyNumberFormat="1" applyFont="1" applyBorder="1" applyAlignment="1">
      <alignment horizontal="center" wrapText="1"/>
    </xf>
    <xf numFmtId="0" fontId="17" fillId="24" borderId="14" xfId="0" applyFont="1" applyFill="1" applyBorder="1" applyAlignment="1">
      <alignment horizontal="center" wrapText="1"/>
    </xf>
    <xf numFmtId="0" fontId="17" fillId="24" borderId="17" xfId="0" applyFont="1" applyFill="1" applyBorder="1" applyAlignment="1">
      <alignment horizontal="center" wrapText="1"/>
    </xf>
    <xf numFmtId="3" fontId="17" fillId="24" borderId="18" xfId="0" applyNumberFormat="1" applyFont="1" applyFill="1" applyBorder="1" applyAlignment="1">
      <alignment horizontal="center" wrapText="1"/>
    </xf>
    <xf numFmtId="3" fontId="17" fillId="24" borderId="19" xfId="0" applyNumberFormat="1" applyFont="1" applyFill="1" applyBorder="1" applyAlignment="1">
      <alignment horizontal="center" wrapText="1"/>
    </xf>
    <xf numFmtId="1" fontId="17" fillId="24" borderId="10" xfId="0" applyNumberFormat="1" applyFont="1" applyFill="1" applyBorder="1" applyAlignment="1">
      <alignment horizontal="center" wrapText="1"/>
    </xf>
    <xf numFmtId="10" fontId="4" fillId="0" borderId="10" xfId="0" applyNumberFormat="1" applyFont="1" applyBorder="1" applyAlignment="1">
      <alignment horizontal="center"/>
    </xf>
    <xf numFmtId="1" fontId="17" fillId="0" borderId="10" xfId="0" applyNumberFormat="1" applyFont="1" applyBorder="1" applyAlignment="1">
      <alignment horizontal="center" wrapText="1"/>
    </xf>
    <xf numFmtId="3" fontId="0" fillId="0" borderId="10" xfId="0" applyNumberFormat="1" applyBorder="1" applyAlignment="1">
      <alignment horizontal="center" wrapText="1"/>
    </xf>
    <xf numFmtId="3" fontId="0" fillId="0" borderId="10" xfId="0" applyNumberFormat="1" applyBorder="1" applyAlignment="1">
      <alignment horizontal="center"/>
    </xf>
    <xf numFmtId="0" fontId="14" fillId="0" borderId="0" xfId="0" applyFont="1" applyAlignment="1">
      <alignment horizontal="right"/>
    </xf>
    <xf numFmtId="0" fontId="12" fillId="0" borderId="0" xfId="0" applyFont="1" applyAlignment="1">
      <alignment horizontal="left"/>
    </xf>
    <xf numFmtId="10" fontId="12" fillId="0" borderId="0" xfId="0" applyNumberFormat="1" applyFont="1" applyAlignment="1">
      <alignment horizontal="center"/>
    </xf>
    <xf numFmtId="0" fontId="0" fillId="0" borderId="0" xfId="0" applyAlignment="1" applyProtection="1">
      <alignment horizontal="center"/>
      <protection hidden="1"/>
    </xf>
    <xf numFmtId="0" fontId="0" fillId="0" borderId="21" xfId="0" applyBorder="1"/>
    <xf numFmtId="0" fontId="19" fillId="0" borderId="0" xfId="0" applyFont="1"/>
    <xf numFmtId="2" fontId="0" fillId="24" borderId="10" xfId="0" applyNumberFormat="1" applyFill="1" applyBorder="1" applyAlignment="1">
      <alignment horizontal="center"/>
    </xf>
    <xf numFmtId="0" fontId="11" fillId="0" borderId="0" xfId="35" applyAlignment="1" applyProtection="1"/>
    <xf numFmtId="0" fontId="21" fillId="0" borderId="0" xfId="35" applyFont="1" applyAlignment="1" applyProtection="1"/>
    <xf numFmtId="0" fontId="0" fillId="0" borderId="0" xfId="0" applyAlignment="1">
      <alignment wrapText="1"/>
    </xf>
    <xf numFmtId="0" fontId="2" fillId="0" borderId="0" xfId="0" applyFont="1" applyAlignment="1">
      <alignment horizontal="left" wrapText="1"/>
    </xf>
    <xf numFmtId="10" fontId="12" fillId="0" borderId="0" xfId="0" applyNumberFormat="1" applyFont="1" applyAlignment="1">
      <alignment horizontal="left"/>
    </xf>
    <xf numFmtId="0" fontId="12" fillId="0" borderId="0" xfId="0" applyFont="1"/>
    <xf numFmtId="2" fontId="2" fillId="0" borderId="0" xfId="0" applyNumberFormat="1" applyFont="1" applyAlignment="1">
      <alignment horizontal="center"/>
    </xf>
    <xf numFmtId="10" fontId="12" fillId="25" borderId="0" xfId="0" applyNumberFormat="1" applyFont="1" applyFill="1" applyAlignment="1" applyProtection="1">
      <alignment horizontal="center"/>
      <protection locked="0"/>
    </xf>
    <xf numFmtId="10" fontId="0" fillId="24" borderId="10" xfId="0" applyNumberFormat="1" applyFill="1" applyBorder="1" applyAlignment="1" applyProtection="1">
      <alignment horizontal="center"/>
      <protection locked="0"/>
    </xf>
    <xf numFmtId="0" fontId="2" fillId="0" borderId="20" xfId="0" applyFont="1" applyBorder="1" applyAlignment="1">
      <alignment horizontal="center" vertical="center" wrapText="1"/>
    </xf>
    <xf numFmtId="44" fontId="0" fillId="0" borderId="14" xfId="28" applyFont="1" applyBorder="1" applyAlignment="1">
      <alignment horizontal="right"/>
    </xf>
    <xf numFmtId="44" fontId="0" fillId="0" borderId="13" xfId="28" applyFont="1" applyBorder="1" applyAlignment="1">
      <alignment horizontal="right"/>
    </xf>
    <xf numFmtId="44" fontId="7" fillId="0" borderId="11" xfId="28" applyFont="1" applyBorder="1" applyAlignment="1">
      <alignment horizontal="right"/>
    </xf>
    <xf numFmtId="44" fontId="8" fillId="0" borderId="11" xfId="28" applyFont="1" applyBorder="1" applyAlignment="1">
      <alignment horizontal="right"/>
    </xf>
    <xf numFmtId="0" fontId="2" fillId="0" borderId="0" xfId="0" applyFont="1" applyAlignment="1">
      <alignment wrapText="1"/>
    </xf>
    <xf numFmtId="0" fontId="11" fillId="0" borderId="0" xfId="35" applyAlignment="1" applyProtection="1">
      <alignment horizontal="center"/>
    </xf>
    <xf numFmtId="0" fontId="45" fillId="0" borderId="0" xfId="0" applyFont="1" applyAlignment="1">
      <alignment horizontal="center"/>
    </xf>
    <xf numFmtId="0" fontId="15" fillId="0" borderId="0" xfId="0" applyFont="1" applyAlignment="1">
      <alignment horizontal="center"/>
    </xf>
    <xf numFmtId="164" fontId="4" fillId="24" borderId="0" xfId="0" applyNumberFormat="1" applyFont="1" applyFill="1" applyAlignment="1" applyProtection="1">
      <alignment horizontal="center"/>
      <protection locked="0"/>
    </xf>
    <xf numFmtId="0" fontId="0" fillId="0" borderId="22" xfId="0" applyBorder="1"/>
    <xf numFmtId="44" fontId="4" fillId="0" borderId="14" xfId="28" applyFont="1" applyBorder="1" applyAlignment="1">
      <alignment horizontal="center"/>
    </xf>
    <xf numFmtId="0" fontId="2" fillId="0" borderId="15" xfId="0" applyFont="1" applyBorder="1"/>
    <xf numFmtId="0" fontId="22" fillId="0" borderId="0" xfId="0" applyFont="1"/>
    <xf numFmtId="0" fontId="4" fillId="24" borderId="0" xfId="0" applyFont="1" applyFill="1" applyAlignment="1" applyProtection="1">
      <alignment horizontal="center"/>
      <protection locked="0"/>
    </xf>
    <xf numFmtId="0" fontId="2" fillId="0" borderId="23" xfId="0" applyFont="1" applyBorder="1" applyAlignment="1">
      <alignment horizontal="center" vertical="center" wrapText="1"/>
    </xf>
    <xf numFmtId="1" fontId="4" fillId="0" borderId="0" xfId="0" applyNumberFormat="1" applyFont="1" applyAlignment="1" applyProtection="1">
      <alignment horizontal="center"/>
      <protection locked="0"/>
    </xf>
    <xf numFmtId="2" fontId="0" fillId="0" borderId="0" xfId="0" applyNumberFormat="1" applyAlignment="1">
      <alignment horizontal="center"/>
    </xf>
    <xf numFmtId="0" fontId="15" fillId="0" borderId="0" xfId="0" applyFont="1" applyAlignment="1">
      <alignment horizontal="center" wrapText="1"/>
    </xf>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left" wrapText="1"/>
    </xf>
    <xf numFmtId="0" fontId="0" fillId="0" borderId="0" xfId="0" applyAlignment="1">
      <alignment wrapText="1"/>
    </xf>
    <xf numFmtId="0" fontId="12" fillId="24" borderId="0" xfId="0" applyFont="1" applyFill="1" applyAlignment="1" applyProtection="1">
      <alignment horizontal="left"/>
      <protection locked="0"/>
    </xf>
    <xf numFmtId="0" fontId="4" fillId="0" borderId="0" xfId="0" applyFont="1"/>
    <xf numFmtId="0" fontId="17" fillId="0" borderId="0" xfId="0" applyFont="1" applyAlignment="1">
      <alignment horizontal="left" wrapText="1"/>
    </xf>
    <xf numFmtId="0" fontId="47" fillId="0" borderId="0" xfId="0" applyFont="1" applyAlignment="1">
      <alignment horizontal="left"/>
    </xf>
    <xf numFmtId="0" fontId="47" fillId="0" borderId="0" xfId="0" applyFont="1" applyAlignment="1">
      <alignment horizontal="right"/>
    </xf>
    <xf numFmtId="0" fontId="49" fillId="0" borderId="0" xfId="0" applyFont="1" applyAlignment="1">
      <alignment horizontal="left" wrapText="1"/>
    </xf>
    <xf numFmtId="0" fontId="11" fillId="0" borderId="0" xfId="35" quotePrefix="1" applyAlignment="1" applyProtection="1">
      <alignment horizontal="center"/>
    </xf>
    <xf numFmtId="0" fontId="11" fillId="0" borderId="0" xfId="35" applyAlignment="1" applyProtection="1">
      <alignment horizontal="center"/>
    </xf>
    <xf numFmtId="0" fontId="48" fillId="26" borderId="0" xfId="35" applyFont="1" applyFill="1" applyAlignment="1" applyProtection="1">
      <alignment horizontal="center"/>
    </xf>
    <xf numFmtId="0" fontId="2" fillId="0" borderId="0" xfId="0" applyFont="1" applyAlignment="1">
      <alignment wrapText="1"/>
    </xf>
    <xf numFmtId="0" fontId="19" fillId="0" borderId="0" xfId="0" applyFont="1" applyAlignment="1">
      <alignment wrapText="1"/>
    </xf>
    <xf numFmtId="0" fontId="44" fillId="26" borderId="0" xfId="35" applyFont="1" applyFill="1" applyAlignment="1" applyProtection="1">
      <alignment horizontal="center"/>
    </xf>
    <xf numFmtId="0" fontId="2" fillId="0" borderId="0" xfId="0" applyFont="1" applyAlignment="1">
      <alignment horizontal="left"/>
    </xf>
    <xf numFmtId="0" fontId="4" fillId="0" borderId="15" xfId="0" applyFont="1" applyBorder="1" applyAlignment="1">
      <alignment horizontal="center" wrapText="1"/>
    </xf>
    <xf numFmtId="0" fontId="4" fillId="0" borderId="17" xfId="0" applyFont="1" applyBorder="1" applyAlignment="1">
      <alignment horizontal="center" wrapText="1"/>
    </xf>
    <xf numFmtId="0" fontId="4" fillId="0" borderId="18" xfId="0" applyFont="1" applyBorder="1" applyAlignment="1">
      <alignment horizontal="center"/>
    </xf>
    <xf numFmtId="0" fontId="4" fillId="0" borderId="19" xfId="0" applyFont="1" applyBorder="1" applyAlignment="1">
      <alignment horizontal="center"/>
    </xf>
    <xf numFmtId="0" fontId="45" fillId="0" borderId="0" xfId="0" applyFont="1" applyAlignment="1">
      <alignment horizontal="center"/>
    </xf>
    <xf numFmtId="0" fontId="2" fillId="0" borderId="0" xfId="0" applyFont="1" applyAlignment="1">
      <alignment horizontal="center"/>
    </xf>
    <xf numFmtId="0" fontId="15" fillId="0" borderId="0" xfId="0" applyFont="1" applyAlignment="1">
      <alignment horizontal="center"/>
    </xf>
    <xf numFmtId="0" fontId="46"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wrapText="1"/>
    </xf>
    <xf numFmtId="0" fontId="19" fillId="0" borderId="0" xfId="0" applyFont="1" applyAlignment="1">
      <alignment horizontal="center"/>
    </xf>
    <xf numFmtId="0" fontId="11" fillId="0" borderId="21" xfId="35" applyBorder="1" applyAlignment="1" applyProtection="1">
      <alignment horizontal="center"/>
    </xf>
    <xf numFmtId="9" fontId="4" fillId="0" borderId="10" xfId="41" applyFont="1" applyBorder="1" applyAlignment="1">
      <alignment horizontal="center" wrapText="1"/>
    </xf>
    <xf numFmtId="9" fontId="4" fillId="0" borderId="10" xfId="41" applyFont="1" applyBorder="1"/>
    <xf numFmtId="0" fontId="16" fillId="0" borderId="0" xfId="0" applyFont="1" applyAlignment="1">
      <alignment horizontal="center"/>
    </xf>
    <xf numFmtId="0" fontId="43" fillId="0" borderId="0" xfId="35" applyFont="1" applyAlignment="1" applyProtection="1">
      <alignment horizontal="center"/>
    </xf>
    <xf numFmtId="0" fontId="2" fillId="0" borderId="10" xfId="0" applyFont="1" applyBorder="1" applyAlignment="1">
      <alignment horizontal="center" vertical="center"/>
    </xf>
    <xf numFmtId="10" fontId="0" fillId="0" borderId="20" xfId="0" applyNumberFormat="1" applyBorder="1" applyAlignment="1">
      <alignment horizontal="center" vertical="center" wrapText="1"/>
    </xf>
    <xf numFmtId="10" fontId="0" fillId="0" borderId="24" xfId="0" applyNumberFormat="1" applyBorder="1" applyAlignment="1">
      <alignment horizontal="center" vertical="center" wrapText="1"/>
    </xf>
    <xf numFmtId="0" fontId="0" fillId="0" borderId="0" xfId="0" applyAlignment="1">
      <alignment horizontal="center" vertical="center"/>
    </xf>
    <xf numFmtId="0" fontId="4"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lignment horizontal="center" vertical="center" wrapText="1"/>
    </xf>
    <xf numFmtId="0" fontId="11" fillId="0" borderId="0" xfId="35"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Shift Firefighters'!G5"/><Relationship Id="rId2" Type="http://schemas.openxmlformats.org/officeDocument/2006/relationships/image" Target="../media/image6.png"/><Relationship Id="rId1" Type="http://schemas.openxmlformats.org/officeDocument/2006/relationships/hyperlink" Target="#'Chief, Training, Inspectors'!G5"/><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3</xdr:col>
      <xdr:colOff>428625</xdr:colOff>
      <xdr:row>3</xdr:row>
      <xdr:rowOff>19050</xdr:rowOff>
    </xdr:from>
    <xdr:to>
      <xdr:col>9</xdr:col>
      <xdr:colOff>38100</xdr:colOff>
      <xdr:row>15</xdr:row>
      <xdr:rowOff>133350</xdr:rowOff>
    </xdr:to>
    <xdr:pic>
      <xdr:nvPicPr>
        <xdr:cNvPr id="1079" name="Picture 1" descr="Retire.jpg">
          <a:extLst>
            <a:ext uri="{FF2B5EF4-FFF2-40B4-BE49-F238E27FC236}">
              <a16:creationId xmlns:a16="http://schemas.microsoft.com/office/drawing/2014/main" id="{00000000-0008-0000-0000-00003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809625"/>
          <a:ext cx="326707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409575</xdr:colOff>
      <xdr:row>0</xdr:row>
      <xdr:rowOff>57150</xdr:rowOff>
    </xdr:from>
    <xdr:to>
      <xdr:col>13</xdr:col>
      <xdr:colOff>190500</xdr:colOff>
      <xdr:row>18</xdr:row>
      <xdr:rowOff>66675</xdr:rowOff>
    </xdr:to>
    <xdr:pic>
      <xdr:nvPicPr>
        <xdr:cNvPr id="9221" name="Picture 3">
          <a:hlinkClick xmlns:r="http://schemas.openxmlformats.org/officeDocument/2006/relationships" r:id="rId1"/>
          <a:extLst>
            <a:ext uri="{FF2B5EF4-FFF2-40B4-BE49-F238E27FC236}">
              <a16:creationId xmlns:a16="http://schemas.microsoft.com/office/drawing/2014/main" id="{00000000-0008-0000-0800-0000052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57150"/>
          <a:ext cx="2219325"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xdr:row>
      <xdr:rowOff>104775</xdr:rowOff>
    </xdr:from>
    <xdr:to>
      <xdr:col>7</xdr:col>
      <xdr:colOff>438150</xdr:colOff>
      <xdr:row>17</xdr:row>
      <xdr:rowOff>19050</xdr:rowOff>
    </xdr:to>
    <xdr:pic>
      <xdr:nvPicPr>
        <xdr:cNvPr id="9222" name="Picture 4">
          <a:hlinkClick xmlns:r="http://schemas.openxmlformats.org/officeDocument/2006/relationships" r:id="rId3"/>
          <a:extLst>
            <a:ext uri="{FF2B5EF4-FFF2-40B4-BE49-F238E27FC236}">
              <a16:creationId xmlns:a16="http://schemas.microsoft.com/office/drawing/2014/main" id="{00000000-0008-0000-0800-0000062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0100" y="266700"/>
          <a:ext cx="3905250" cy="2505075"/>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hony%20J.%20Fanchi/AppData/Local/Microsoft/Windows/Temporary%20Internet%20Files/Low/Content.IE5/7800UVKW/NSPS%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thony.fanchi/Local%20Settings/Temporary%20Internet%20Files/OLK5D/2008%20Pay%20Program%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Calculator"/>
      <sheetName val="Data"/>
    </sheetNames>
    <sheetDataSet>
      <sheetData sheetId="0"/>
      <sheetData sheetId="1">
        <row r="2">
          <cell r="A2" t="str">
            <v>Shift</v>
          </cell>
        </row>
        <row r="3">
          <cell r="A3" t="str">
            <v>One night a week</v>
          </cell>
        </row>
        <row r="6">
          <cell r="A6">
            <v>72</v>
          </cell>
        </row>
        <row r="7">
          <cell r="A7">
            <v>60</v>
          </cell>
        </row>
        <row r="8">
          <cell r="A8">
            <v>56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Page"/>
      <sheetName val="Previous GS Pay"/>
      <sheetName val="GS Pay Calculator"/>
      <sheetName val="GS Pay - No Locality"/>
      <sheetName val="Previous Locality Rates"/>
      <sheetName val="Locality Rates"/>
      <sheetName val="Special Rates"/>
      <sheetName val="GS Pay Scale"/>
      <sheetName val="Shift Firefighters"/>
      <sheetName val="Fire Chiefs, Fire Inspectors"/>
    </sheetNames>
    <sheetDataSet>
      <sheetData sheetId="0" refreshError="1"/>
      <sheetData sheetId="1" refreshError="1"/>
      <sheetData sheetId="2" refreshError="1"/>
      <sheetData sheetId="3" refreshError="1"/>
      <sheetData sheetId="4" refreshError="1"/>
      <sheetData sheetId="5">
        <row r="2">
          <cell r="A2" t="str">
            <v>Basic Pay (No Locality or COLA)</v>
          </cell>
        </row>
        <row r="3">
          <cell r="A3" t="str">
            <v>Rest of U.S.</v>
          </cell>
        </row>
        <row r="4">
          <cell r="A4" t="str">
            <v>Atlanta-Sandy Springs-Gainesville, GA-AL</v>
          </cell>
        </row>
        <row r="5">
          <cell r="A5" t="str">
            <v>Boston-Worcester-Manchester, MA-NH-ME-RI</v>
          </cell>
        </row>
        <row r="6">
          <cell r="A6" t="str">
            <v>Buffalo-Niagara-Cattaraugus, NY</v>
          </cell>
        </row>
        <row r="7">
          <cell r="A7" t="str">
            <v>Chicago-Naperville-Michigan City, IL-IN-WI</v>
          </cell>
        </row>
        <row r="8">
          <cell r="A8" t="str">
            <v>Cincinnati-Middletown-Wilmington, OH-KY-IN</v>
          </cell>
        </row>
        <row r="9">
          <cell r="A9" t="str">
            <v>Cleveland-Akron-Elyria, OH</v>
          </cell>
        </row>
        <row r="10">
          <cell r="A10" t="str">
            <v>Columbus-Marion-Chillicothe, OH</v>
          </cell>
        </row>
        <row r="11">
          <cell r="A11" t="str">
            <v>Dallas-Fort Worth, TX</v>
          </cell>
        </row>
        <row r="12">
          <cell r="A12" t="str">
            <v>Dayton-Springfield-Greenville, OH</v>
          </cell>
        </row>
        <row r="13">
          <cell r="A13" t="str">
            <v>Denver-Aurora-Boulder, CO</v>
          </cell>
        </row>
        <row r="14">
          <cell r="A14" t="str">
            <v>Detroit-Warren-Flint, MI</v>
          </cell>
        </row>
        <row r="15">
          <cell r="A15" t="str">
            <v>Hartford-West Hartford-Willimantic, CT-MA</v>
          </cell>
        </row>
        <row r="16">
          <cell r="A16" t="str">
            <v>Houston-Baytown-Huntsville, TX</v>
          </cell>
        </row>
        <row r="17">
          <cell r="A17" t="str">
            <v>Huntsville-Decatur, AL</v>
          </cell>
        </row>
        <row r="18">
          <cell r="A18" t="str">
            <v>Indianapolis-Anderson-Columbus, IN</v>
          </cell>
        </row>
        <row r="19">
          <cell r="A19" t="str">
            <v>Los Angeles-Long Beach-Riverside, CA</v>
          </cell>
        </row>
        <row r="20">
          <cell r="A20" t="str">
            <v>Miami-Fort Lauderdale-Miami Beach, FL</v>
          </cell>
        </row>
        <row r="21">
          <cell r="A21" t="str">
            <v>Milwaukee-Racine-Waukesha, WI</v>
          </cell>
        </row>
        <row r="22">
          <cell r="A22" t="str">
            <v>Minneapolis-St. Paul-St. Cloud, MN-WI</v>
          </cell>
        </row>
        <row r="23">
          <cell r="A23" t="str">
            <v>New York-Newark-Bridgeport, NY-NJ-CT-PA</v>
          </cell>
        </row>
        <row r="24">
          <cell r="A24" t="str">
            <v>Philadelphia-Camden-Vineland, PA-NJ-DE-MD</v>
          </cell>
        </row>
        <row r="25">
          <cell r="A25" t="str">
            <v>Phoenix-Mesa-Scottsdale, AZ</v>
          </cell>
        </row>
        <row r="26">
          <cell r="A26" t="str">
            <v>Pittsburgh-New Castle, PA</v>
          </cell>
        </row>
        <row r="27">
          <cell r="A27" t="str">
            <v>Portland-Vancouver-Beaverton, OR-WA</v>
          </cell>
        </row>
        <row r="28">
          <cell r="A28" t="str">
            <v>Raleigh-Durham-Cary, NC</v>
          </cell>
        </row>
        <row r="29">
          <cell r="A29" t="str">
            <v>Richmond, VA</v>
          </cell>
        </row>
        <row r="30">
          <cell r="A30" t="str">
            <v>Sacramento--Arden-Arcade--Truckee, CA-NV</v>
          </cell>
        </row>
        <row r="31">
          <cell r="A31" t="str">
            <v>San Diego-Carlsbad-San Marcos, CA</v>
          </cell>
        </row>
        <row r="32">
          <cell r="A32" t="str">
            <v>San Jose-San Francisco-Oakland, CA</v>
          </cell>
        </row>
        <row r="33">
          <cell r="A33" t="str">
            <v>Seattle-Tacoma-Olympia, WA</v>
          </cell>
        </row>
        <row r="34">
          <cell r="A34" t="str">
            <v>Washington-Baltimore-Northern Virginia, DC-MD-PA-VA-WV</v>
          </cell>
        </row>
        <row r="35">
          <cell r="A35" t="str">
            <v xml:space="preserve">Anchorage </v>
          </cell>
        </row>
        <row r="36">
          <cell r="A36" t="str">
            <v>Fairbanks</v>
          </cell>
        </row>
        <row r="37">
          <cell r="A37" t="str">
            <v>Juneau</v>
          </cell>
        </row>
        <row r="38">
          <cell r="A38" t="str">
            <v>Rest of Alaska</v>
          </cell>
        </row>
        <row r="39">
          <cell r="A39" t="str">
            <v>Honolulu</v>
          </cell>
        </row>
        <row r="40">
          <cell r="A40" t="str">
            <v>Hawaii (County)</v>
          </cell>
        </row>
        <row r="41">
          <cell r="A41" t="str">
            <v>Kauai</v>
          </cell>
        </row>
        <row r="42">
          <cell r="A42" t="str">
            <v>Maui and Kalawao</v>
          </cell>
        </row>
        <row r="43">
          <cell r="A43" t="str">
            <v>Puerto Rico</v>
          </cell>
        </row>
        <row r="44">
          <cell r="A44" t="str">
            <v>U.S. Virgin Islands</v>
          </cell>
        </row>
        <row r="45">
          <cell r="A45" t="str">
            <v>American Samoa</v>
          </cell>
        </row>
        <row r="46">
          <cell r="A46" t="str">
            <v>Johnston and Sand Island</v>
          </cell>
        </row>
        <row r="47">
          <cell r="A47" t="str">
            <v>Midway Islands</v>
          </cell>
        </row>
        <row r="48">
          <cell r="A48" t="str">
            <v>Guam and Northern Mariana Islands</v>
          </cell>
        </row>
        <row r="49">
          <cell r="A49" t="str">
            <v>Wake Island</v>
          </cell>
        </row>
        <row r="50">
          <cell r="A50" t="str">
            <v>Kansas City</v>
          </cell>
        </row>
        <row r="51">
          <cell r="A51" t="str">
            <v>Orlando</v>
          </cell>
        </row>
        <row r="52">
          <cell r="A52" t="str">
            <v>St. Louis</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opm.gov/policy-data-oversight/pay-leave/salaries-wages/retroactive-pay-executive-order-2019-adjustments-of-certain-rates-of-pay.pdf" TargetMode="External"/><Relationship Id="rId7" Type="http://schemas.openxmlformats.org/officeDocument/2006/relationships/drawing" Target="../drawings/drawing1.xml"/><Relationship Id="rId2" Type="http://schemas.openxmlformats.org/officeDocument/2006/relationships/hyperlink" Target="mailto:anthony.j.fanchi.civ@mail.mil" TargetMode="External"/><Relationship Id="rId1" Type="http://schemas.openxmlformats.org/officeDocument/2006/relationships/hyperlink" Target="mailto:anthony.fanchi@robins.af.mil" TargetMode="External"/><Relationship Id="rId6" Type="http://schemas.openxmlformats.org/officeDocument/2006/relationships/printerSettings" Target="../printerSettings/printerSettings1.bin"/><Relationship Id="rId5" Type="http://schemas.openxmlformats.org/officeDocument/2006/relationships/hyperlink" Target="mailto:admin@fedfirepay.com" TargetMode="External"/><Relationship Id="rId10" Type="http://schemas.openxmlformats.org/officeDocument/2006/relationships/comments" Target="../comments1.xml"/><Relationship Id="rId4" Type="http://schemas.openxmlformats.org/officeDocument/2006/relationships/hyperlink" Target="http://www.opm.gov/policy-data-oversight/pay-leave/pay-systems/nonforeign-areas/" TargetMode="External"/><Relationship Id="rId9"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
  <sheetViews>
    <sheetView showGridLines="0" tabSelected="1" zoomScaleNormal="100" workbookViewId="0">
      <selection activeCell="C19" sqref="C19:K19"/>
    </sheetView>
  </sheetViews>
  <sheetFormatPr defaultRowHeight="12.75" x14ac:dyDescent="0.2"/>
  <cols>
    <col min="13" max="13" width="10.5703125" customWidth="1"/>
  </cols>
  <sheetData>
    <row r="1" spans="1:13" ht="36.75" customHeight="1" x14ac:dyDescent="0.4">
      <c r="A1" s="112">
        <f>'GS Pay Calculator'!B2</f>
        <v>2019</v>
      </c>
      <c r="B1" s="112"/>
      <c r="C1" s="111" t="s">
        <v>78</v>
      </c>
      <c r="D1" s="111"/>
      <c r="E1" s="111"/>
      <c r="F1" s="111"/>
      <c r="G1" s="111"/>
      <c r="H1" s="111"/>
      <c r="I1" s="111"/>
      <c r="J1" s="111"/>
      <c r="K1" s="111"/>
      <c r="L1" s="111"/>
      <c r="M1" s="111"/>
    </row>
    <row r="2" spans="1:13" x14ac:dyDescent="0.2">
      <c r="A2" s="115" t="s">
        <v>62</v>
      </c>
      <c r="B2" s="115"/>
      <c r="C2" s="115"/>
      <c r="D2" s="115"/>
      <c r="E2" s="115"/>
      <c r="F2" s="115"/>
      <c r="G2" s="115"/>
      <c r="H2" s="115"/>
      <c r="I2" s="115"/>
      <c r="J2" s="115"/>
      <c r="K2" s="115"/>
      <c r="L2" s="115"/>
      <c r="M2" s="115"/>
    </row>
    <row r="19" spans="1:13" s="10" customFormat="1" ht="22.5" x14ac:dyDescent="0.3">
      <c r="C19" s="119" t="s">
        <v>84</v>
      </c>
      <c r="D19" s="119"/>
      <c r="E19" s="119"/>
      <c r="F19" s="119"/>
      <c r="G19" s="119"/>
      <c r="H19" s="119"/>
      <c r="I19" s="119"/>
      <c r="J19" s="119"/>
      <c r="K19" s="119"/>
      <c r="L19" s="77"/>
    </row>
    <row r="21" spans="1:13" ht="39" customHeight="1" x14ac:dyDescent="0.2">
      <c r="A21" s="107" t="str">
        <f>"This program is currently set-up for the year "&amp;$C$63&amp;" and covers the "&amp;C46&amp;" locality / COLA area.  It is designed to easily convert to any other locality/COLA, and can estimate annual raises.  The file works with all firefighter schedules covered under the 1998 Pay Reform Act.  The current schedules are "&amp;C31&amp;" hours for shift firefighters and "&amp;C33&amp;" hours for firefighters with an embedded 40 hour workweek."</f>
        <v>This program is currently set-up for the year 2019 and covers the Rest of the United States locality / COLA area.  It is designed to easily convert to any other locality/COLA, and can estimate annual raises.  The file works with all firefighter schedules covered under the 1998 Pay Reform Act.  The current schedules are 72 hours for shift firefighters and 60 hours for firefighters with an embedded 40 hour workweek.</v>
      </c>
      <c r="B21" s="107"/>
      <c r="C21" s="107"/>
      <c r="D21" s="107"/>
      <c r="E21" s="107"/>
      <c r="F21" s="107"/>
      <c r="G21" s="107"/>
      <c r="H21" s="107"/>
      <c r="I21" s="107"/>
      <c r="J21" s="107"/>
      <c r="K21" s="107"/>
      <c r="L21" s="107"/>
      <c r="M21" s="107"/>
    </row>
    <row r="22" spans="1:13" ht="12.75" customHeight="1" x14ac:dyDescent="0.2">
      <c r="A22" s="78"/>
      <c r="B22" s="78"/>
      <c r="C22" s="78"/>
      <c r="D22" s="78"/>
      <c r="E22" s="78"/>
      <c r="F22" s="78"/>
      <c r="G22" s="78"/>
      <c r="H22" s="78"/>
      <c r="I22" s="78"/>
      <c r="J22" s="78"/>
      <c r="K22" s="78"/>
    </row>
    <row r="23" spans="1:13" ht="12.75" customHeight="1" x14ac:dyDescent="0.2">
      <c r="A23" s="117" t="s">
        <v>85</v>
      </c>
      <c r="B23" s="117"/>
      <c r="C23" s="117"/>
      <c r="D23" s="117"/>
      <c r="E23" s="117"/>
      <c r="F23" s="117"/>
      <c r="G23" s="117"/>
      <c r="H23" s="117"/>
      <c r="I23" s="117"/>
      <c r="J23" s="117"/>
      <c r="K23" s="117"/>
      <c r="L23" s="117"/>
      <c r="M23" s="117"/>
    </row>
    <row r="24" spans="1:13" ht="12.75" customHeight="1" x14ac:dyDescent="0.2">
      <c r="A24" s="90"/>
      <c r="B24" s="90"/>
      <c r="C24" s="90"/>
      <c r="D24" s="90"/>
      <c r="E24" s="90"/>
      <c r="F24" s="90"/>
      <c r="G24" s="90"/>
      <c r="H24" s="90"/>
      <c r="I24" s="90"/>
      <c r="J24" s="90"/>
      <c r="K24" s="90"/>
      <c r="L24" s="78"/>
      <c r="M24" s="78"/>
    </row>
    <row r="25" spans="1:13" s="98" customFormat="1" ht="38.25" customHeight="1" x14ac:dyDescent="0.2">
      <c r="A25" s="113" t="s">
        <v>175</v>
      </c>
      <c r="B25" s="113"/>
      <c r="C25" s="113"/>
      <c r="D25" s="113"/>
      <c r="E25" s="113"/>
      <c r="F25" s="113"/>
      <c r="G25" s="113"/>
      <c r="H25" s="113"/>
      <c r="I25" s="113"/>
      <c r="J25" s="113"/>
      <c r="K25" s="113"/>
      <c r="L25" s="113"/>
      <c r="M25" s="113"/>
    </row>
    <row r="27" spans="1:13" ht="14.25" x14ac:dyDescent="0.2">
      <c r="A27" s="114"/>
      <c r="B27" s="115"/>
      <c r="C27" s="115"/>
      <c r="F27" s="116" t="s">
        <v>126</v>
      </c>
      <c r="G27" s="116"/>
      <c r="H27" s="116"/>
    </row>
    <row r="29" spans="1:13" ht="51" customHeight="1" x14ac:dyDescent="0.2">
      <c r="A29" s="117" t="s">
        <v>102</v>
      </c>
      <c r="B29" s="117"/>
      <c r="C29" s="117"/>
      <c r="D29" s="117"/>
      <c r="E29" s="117"/>
      <c r="F29" s="117"/>
      <c r="G29" s="117"/>
      <c r="H29" s="117"/>
      <c r="I29" s="117"/>
      <c r="J29" s="117"/>
      <c r="K29" s="117"/>
      <c r="L29" s="117"/>
      <c r="M29" s="117"/>
    </row>
    <row r="30" spans="1:13" x14ac:dyDescent="0.2">
      <c r="H30" s="42"/>
    </row>
    <row r="31" spans="1:13" x14ac:dyDescent="0.2">
      <c r="A31" t="s">
        <v>38</v>
      </c>
      <c r="C31" s="49">
        <v>72</v>
      </c>
      <c r="F31" s="43"/>
      <c r="I31" s="44"/>
    </row>
    <row r="33" spans="1:13" x14ac:dyDescent="0.2">
      <c r="A33" t="s">
        <v>39</v>
      </c>
      <c r="C33" s="49">
        <v>60</v>
      </c>
      <c r="F33" s="43"/>
      <c r="I33" s="44"/>
    </row>
    <row r="34" spans="1:13" x14ac:dyDescent="0.2">
      <c r="C34" s="46"/>
      <c r="F34" s="43"/>
      <c r="I34" s="44"/>
    </row>
    <row r="35" spans="1:13" ht="39" customHeight="1" x14ac:dyDescent="0.2">
      <c r="A35" s="118" t="s">
        <v>131</v>
      </c>
      <c r="B35" s="118"/>
      <c r="C35" s="118"/>
      <c r="D35" s="118"/>
      <c r="E35" s="118"/>
      <c r="F35" s="118"/>
      <c r="G35" s="118"/>
      <c r="H35" s="118"/>
      <c r="I35" s="118"/>
      <c r="J35" s="118"/>
      <c r="K35" s="118"/>
      <c r="L35" s="118"/>
      <c r="M35" s="118"/>
    </row>
    <row r="36" spans="1:13" s="1" customFormat="1" x14ac:dyDescent="0.2">
      <c r="A36" s="10"/>
    </row>
    <row r="37" spans="1:13" s="1" customFormat="1" ht="38.25" customHeight="1" x14ac:dyDescent="0.2">
      <c r="A37" s="117" t="s">
        <v>97</v>
      </c>
      <c r="B37" s="117"/>
      <c r="C37" s="117"/>
      <c r="D37" s="117"/>
      <c r="E37" s="117"/>
      <c r="F37" s="117"/>
      <c r="G37" s="117"/>
      <c r="H37" s="117"/>
      <c r="I37" s="117"/>
      <c r="J37" s="117"/>
      <c r="K37" s="117"/>
      <c r="L37" s="117"/>
      <c r="M37" s="117"/>
    </row>
    <row r="38" spans="1:13" s="1" customFormat="1" x14ac:dyDescent="0.2"/>
    <row r="39" spans="1:13" s="1" customFormat="1" x14ac:dyDescent="0.2">
      <c r="A39" s="120" t="s">
        <v>103</v>
      </c>
      <c r="B39" s="120"/>
      <c r="C39" s="120"/>
      <c r="D39" s="120"/>
      <c r="E39" s="99" t="s">
        <v>105</v>
      </c>
    </row>
    <row r="40" spans="1:13" s="1" customFormat="1" x14ac:dyDescent="0.2"/>
    <row r="41" spans="1:13" ht="38.25" customHeight="1" x14ac:dyDescent="0.2">
      <c r="A41" s="117" t="s">
        <v>130</v>
      </c>
      <c r="B41" s="117"/>
      <c r="C41" s="117"/>
      <c r="D41" s="117"/>
      <c r="E41" s="117"/>
      <c r="F41" s="117"/>
      <c r="G41" s="117"/>
      <c r="H41" s="117"/>
      <c r="I41" s="117"/>
      <c r="J41" s="117"/>
      <c r="K41" s="117"/>
      <c r="L41" s="117"/>
      <c r="M41" s="117"/>
    </row>
    <row r="43" spans="1:13" ht="12.75" customHeight="1" x14ac:dyDescent="0.2">
      <c r="A43" s="106" t="s">
        <v>132</v>
      </c>
      <c r="B43" s="106"/>
      <c r="C43" s="106"/>
      <c r="D43" s="106"/>
      <c r="E43" s="106"/>
      <c r="F43" s="106"/>
      <c r="G43" s="106"/>
      <c r="H43" s="106"/>
      <c r="I43" s="115" t="s">
        <v>185</v>
      </c>
      <c r="J43" s="115"/>
      <c r="K43" s="91" t="s">
        <v>79</v>
      </c>
    </row>
    <row r="44" spans="1:13" ht="12.75" customHeight="1" x14ac:dyDescent="0.2">
      <c r="A44" s="106" t="s">
        <v>109</v>
      </c>
      <c r="B44" s="106"/>
      <c r="C44" s="106"/>
      <c r="D44" s="106"/>
      <c r="E44" s="106"/>
      <c r="F44" s="106"/>
      <c r="G44" s="106"/>
      <c r="H44" s="106"/>
      <c r="I44" s="106"/>
      <c r="J44" s="106"/>
      <c r="K44" s="106"/>
      <c r="L44" s="106"/>
      <c r="M44" s="106"/>
    </row>
    <row r="45" spans="1:13" x14ac:dyDescent="0.2">
      <c r="C45" s="46"/>
    </row>
    <row r="46" spans="1:13" x14ac:dyDescent="0.2">
      <c r="A46" s="1" t="s">
        <v>69</v>
      </c>
      <c r="C46" s="108" t="s">
        <v>86</v>
      </c>
      <c r="D46" s="108"/>
      <c r="E46" s="108"/>
      <c r="F46" s="108"/>
      <c r="G46" s="108"/>
      <c r="H46" s="106" t="s">
        <v>66</v>
      </c>
      <c r="I46" s="106"/>
      <c r="J46" s="106"/>
      <c r="K46" s="106"/>
      <c r="L46" s="107"/>
      <c r="M46" s="107"/>
    </row>
    <row r="47" spans="1:13" x14ac:dyDescent="0.2">
      <c r="C47" s="70"/>
      <c r="D47" s="10"/>
      <c r="E47" s="10"/>
    </row>
    <row r="48" spans="1:13" x14ac:dyDescent="0.2">
      <c r="A48" s="109" t="s">
        <v>87</v>
      </c>
      <c r="B48" s="109"/>
      <c r="C48" s="71">
        <f>IF(C52="",VLOOKUP(C46,'Locality Rates'!A2:B63,2,FALSE),C52)</f>
        <v>0.15670000000000001</v>
      </c>
      <c r="D48" s="104" t="s">
        <v>108</v>
      </c>
      <c r="E48" s="105"/>
      <c r="F48" s="71">
        <f>IF(F52="",IF(E39="Yes",VLOOKUP(C46,'Locality Rates'!A2:C63,3,FALSE),VLOOKUP(C46,'Locality Rates'!A2:F63,5,FALSE)),F52)</f>
        <v>0</v>
      </c>
      <c r="G48" s="106" t="s">
        <v>88</v>
      </c>
      <c r="H48" s="106"/>
      <c r="I48" s="106"/>
      <c r="J48" s="106"/>
      <c r="K48" s="106"/>
      <c r="L48" s="107"/>
      <c r="M48" s="107"/>
    </row>
    <row r="49" spans="1:13" x14ac:dyDescent="0.2">
      <c r="A49" s="1"/>
      <c r="B49" s="1"/>
      <c r="C49" s="80"/>
      <c r="D49" s="53"/>
      <c r="E49" s="40"/>
      <c r="F49" s="80"/>
      <c r="G49" s="81"/>
      <c r="H49" s="82"/>
      <c r="I49" s="10"/>
    </row>
    <row r="50" spans="1:13" ht="12.75" customHeight="1" x14ac:dyDescent="0.2">
      <c r="A50" s="103" t="s">
        <v>89</v>
      </c>
      <c r="B50" s="103"/>
      <c r="C50" s="103"/>
      <c r="D50" s="103"/>
      <c r="E50" s="103"/>
      <c r="F50" s="103"/>
      <c r="G50" s="103"/>
      <c r="H50" s="103"/>
      <c r="I50" s="103"/>
      <c r="J50" s="103"/>
      <c r="K50" s="103"/>
      <c r="L50" s="103"/>
      <c r="M50" s="103"/>
    </row>
    <row r="51" spans="1:13" x14ac:dyDescent="0.2">
      <c r="A51" s="1"/>
      <c r="B51" s="1"/>
      <c r="C51" s="80"/>
      <c r="D51" s="53"/>
      <c r="E51" s="40"/>
      <c r="F51" s="80"/>
      <c r="G51" s="81"/>
      <c r="H51" s="82"/>
      <c r="I51" s="10"/>
    </row>
    <row r="52" spans="1:13" x14ac:dyDescent="0.2">
      <c r="A52" s="109" t="s">
        <v>87</v>
      </c>
      <c r="B52" s="109"/>
      <c r="C52" s="83"/>
      <c r="D52" s="104" t="s">
        <v>108</v>
      </c>
      <c r="E52" s="105"/>
      <c r="F52" s="83"/>
      <c r="G52" s="106" t="s">
        <v>90</v>
      </c>
      <c r="H52" s="106"/>
      <c r="I52" s="106"/>
      <c r="J52" s="106"/>
      <c r="K52" s="106"/>
      <c r="L52" s="107"/>
      <c r="M52" s="107"/>
    </row>
    <row r="53" spans="1:13" x14ac:dyDescent="0.2">
      <c r="C53" s="71"/>
      <c r="D53" s="43"/>
    </row>
    <row r="54" spans="1:13" ht="38.25" customHeight="1" x14ac:dyDescent="0.2">
      <c r="A54" s="106" t="s">
        <v>129</v>
      </c>
      <c r="B54" s="106"/>
      <c r="C54" s="106"/>
      <c r="D54" s="106"/>
      <c r="E54" s="106"/>
      <c r="F54" s="106"/>
      <c r="G54" s="106"/>
      <c r="H54" s="106"/>
      <c r="I54" s="106"/>
      <c r="J54" s="106"/>
      <c r="K54" s="106"/>
      <c r="L54" s="106"/>
      <c r="M54" s="106"/>
    </row>
    <row r="55" spans="1:13" ht="12.75" customHeight="1" x14ac:dyDescent="0.2">
      <c r="A55" s="79"/>
      <c r="B55" s="79"/>
      <c r="C55" s="79"/>
      <c r="D55" s="79"/>
      <c r="E55" s="79"/>
      <c r="F55" s="79"/>
      <c r="G55" s="79"/>
      <c r="H55" s="79"/>
      <c r="I55" s="79"/>
      <c r="J55" s="79"/>
      <c r="K55" s="79"/>
    </row>
    <row r="56" spans="1:13" s="74" customFormat="1" ht="25.5" customHeight="1" x14ac:dyDescent="0.2">
      <c r="A56" s="110" t="str">
        <f>"Enter the raise below for the appropriate year.  This file is initially set-up for the year "&amp;'GS Pay Calculator'!$B$2&amp;".  When raises are entered, the year indicated on the pay charts should match the year of the latest raise."</f>
        <v>Enter the raise below for the appropriate year.  This file is initially set-up for the year 2019.  When raises are entered, the year indicated on the pay charts should match the year of the latest raise.</v>
      </c>
      <c r="B56" s="110"/>
      <c r="C56" s="110"/>
      <c r="D56" s="110"/>
      <c r="E56" s="110"/>
      <c r="F56" s="110"/>
      <c r="G56" s="110"/>
      <c r="H56" s="110"/>
      <c r="I56" s="110"/>
      <c r="J56" s="110"/>
      <c r="K56" s="110"/>
      <c r="L56" s="110"/>
      <c r="M56" s="110"/>
    </row>
    <row r="57" spans="1:13" x14ac:dyDescent="0.2">
      <c r="A57" s="47"/>
    </row>
    <row r="58" spans="1:13" x14ac:dyDescent="0.2">
      <c r="A58" s="11" t="s">
        <v>34</v>
      </c>
      <c r="B58" s="11" t="s">
        <v>45</v>
      </c>
      <c r="C58" s="11" t="s">
        <v>34</v>
      </c>
      <c r="D58" s="11" t="s">
        <v>45</v>
      </c>
      <c r="G58" s="72"/>
      <c r="H58" s="41" t="s">
        <v>77</v>
      </c>
      <c r="I58" s="11" t="s">
        <v>34</v>
      </c>
      <c r="J58" s="11" t="s">
        <v>45</v>
      </c>
    </row>
    <row r="59" spans="1:13" x14ac:dyDescent="0.2">
      <c r="A59" s="48">
        <f>'GS Pay Calculator'!B2+1</f>
        <v>2020</v>
      </c>
      <c r="B59" s="84">
        <v>0</v>
      </c>
      <c r="C59" s="48">
        <f>A59+1</f>
        <v>2021</v>
      </c>
      <c r="D59" s="84">
        <v>0</v>
      </c>
      <c r="F59" s="45"/>
      <c r="I59" s="48">
        <v>2008</v>
      </c>
      <c r="J59" s="75">
        <v>3.5</v>
      </c>
    </row>
    <row r="60" spans="1:13" x14ac:dyDescent="0.2">
      <c r="A60" s="48">
        <f>A59+2</f>
        <v>2022</v>
      </c>
      <c r="B60" s="84">
        <v>0</v>
      </c>
      <c r="C60" s="48">
        <f>C59+2</f>
        <v>2023</v>
      </c>
      <c r="D60" s="84">
        <v>0</v>
      </c>
      <c r="F60" s="45"/>
      <c r="I60" s="48">
        <v>2009</v>
      </c>
      <c r="J60" s="75">
        <v>3.9</v>
      </c>
    </row>
    <row r="61" spans="1:13" x14ac:dyDescent="0.2">
      <c r="A61" s="48">
        <f>A60+2</f>
        <v>2024</v>
      </c>
      <c r="B61" s="84">
        <v>0</v>
      </c>
      <c r="C61" s="48">
        <f>C60+2</f>
        <v>2025</v>
      </c>
      <c r="D61" s="84">
        <v>0</v>
      </c>
      <c r="F61" s="45"/>
      <c r="I61" s="48">
        <v>2010</v>
      </c>
      <c r="J61" s="75">
        <v>2</v>
      </c>
    </row>
    <row r="62" spans="1:13" x14ac:dyDescent="0.2">
      <c r="A62" s="48">
        <f>A61+2</f>
        <v>2026</v>
      </c>
      <c r="B62" s="84">
        <v>0</v>
      </c>
      <c r="C62" s="48">
        <f>C61+2</f>
        <v>2027</v>
      </c>
      <c r="D62" s="84">
        <v>0</v>
      </c>
      <c r="F62" s="45"/>
      <c r="I62" s="48">
        <v>2011</v>
      </c>
      <c r="J62" s="75">
        <v>0</v>
      </c>
    </row>
    <row r="63" spans="1:13" hidden="1" x14ac:dyDescent="0.2">
      <c r="A63" s="44" t="s">
        <v>70</v>
      </c>
      <c r="B63" s="102"/>
      <c r="C63" s="40">
        <f>IF(D62&gt;0,C62,IF(B62&gt;0,A62,IF(D61&gt;0,C61,IF(B61&gt;0,A61,IF(D60&gt;0,C60,IF(B60&gt;0,A60,IF(D59&gt;0,C59,IF(B59&gt;0,A59,'GS Pay Calculator'!B2))))))))</f>
        <v>2019</v>
      </c>
      <c r="D63" s="102"/>
      <c r="F63" s="45"/>
    </row>
    <row r="64" spans="1:13" x14ac:dyDescent="0.2">
      <c r="A64" s="44"/>
      <c r="B64" s="102"/>
      <c r="C64" s="40"/>
      <c r="D64" s="102"/>
      <c r="F64" s="45"/>
    </row>
    <row r="65" spans="1:13" hidden="1" x14ac:dyDescent="0.2">
      <c r="A65" s="1" t="s">
        <v>101</v>
      </c>
      <c r="C65" s="101">
        <v>26</v>
      </c>
      <c r="E65" s="44"/>
      <c r="F65" s="43"/>
    </row>
    <row r="66" spans="1:13" ht="51" customHeight="1" x14ac:dyDescent="0.2">
      <c r="A66" s="106" t="s">
        <v>91</v>
      </c>
      <c r="B66" s="106"/>
      <c r="C66" s="106"/>
      <c r="D66" s="106"/>
      <c r="E66" s="106"/>
      <c r="F66" s="106"/>
      <c r="G66" s="106"/>
      <c r="H66" s="106"/>
      <c r="I66" s="106"/>
      <c r="J66" s="106"/>
      <c r="K66" s="106"/>
      <c r="L66" s="106"/>
      <c r="M66" s="106"/>
    </row>
    <row r="67" spans="1:13" x14ac:dyDescent="0.2">
      <c r="A67" s="1"/>
      <c r="C67" s="46"/>
      <c r="E67" s="44"/>
    </row>
    <row r="68" spans="1:13" ht="63.75" customHeight="1" x14ac:dyDescent="0.2">
      <c r="A68" s="106" t="s">
        <v>128</v>
      </c>
      <c r="B68" s="106"/>
      <c r="C68" s="106"/>
      <c r="D68" s="106"/>
      <c r="E68" s="106"/>
      <c r="F68" s="106"/>
      <c r="G68" s="106"/>
      <c r="H68" s="106"/>
      <c r="I68" s="106"/>
      <c r="J68" s="106"/>
      <c r="K68" s="106"/>
      <c r="L68" s="106"/>
      <c r="M68" s="106"/>
    </row>
    <row r="69" spans="1:13" x14ac:dyDescent="0.2">
      <c r="A69" s="1" t="s">
        <v>19</v>
      </c>
      <c r="C69" s="46"/>
      <c r="E69" s="44"/>
    </row>
    <row r="70" spans="1:13" x14ac:dyDescent="0.2">
      <c r="A70" s="1"/>
      <c r="C70" s="46"/>
      <c r="E70" s="44"/>
    </row>
    <row r="71" spans="1:13" x14ac:dyDescent="0.2">
      <c r="C71" s="46"/>
      <c r="E71" s="44"/>
    </row>
    <row r="72" spans="1:13" x14ac:dyDescent="0.2">
      <c r="A72" s="1"/>
      <c r="C72" s="46"/>
      <c r="E72" s="44"/>
    </row>
    <row r="73" spans="1:13" x14ac:dyDescent="0.2">
      <c r="A73" s="1"/>
    </row>
  </sheetData>
  <sheetProtection algorithmName="SHA-512" hashValue="8p6xyu0vNJvNlFFwhrQQ3l8wwqUi+xI0OTQ68a7J1R44b1YPeoP4DkGW+FjctRqR1phCEbSqYGo/iBagyy76rQ==" saltValue="5eXILPLEzM3vVRhALYusEA==" spinCount="100000" sheet="1" objects="1" scenarios="1"/>
  <mergeCells count="30">
    <mergeCell ref="C1:M1"/>
    <mergeCell ref="A1:B1"/>
    <mergeCell ref="A44:M44"/>
    <mergeCell ref="A25:M25"/>
    <mergeCell ref="A27:C27"/>
    <mergeCell ref="F27:H27"/>
    <mergeCell ref="A29:M29"/>
    <mergeCell ref="A35:M35"/>
    <mergeCell ref="A37:M37"/>
    <mergeCell ref="A41:M41"/>
    <mergeCell ref="A23:M23"/>
    <mergeCell ref="C19:K19"/>
    <mergeCell ref="A21:M21"/>
    <mergeCell ref="A2:M2"/>
    <mergeCell ref="A39:D39"/>
    <mergeCell ref="I43:J43"/>
    <mergeCell ref="A68:M68"/>
    <mergeCell ref="A56:M56"/>
    <mergeCell ref="A66:M66"/>
    <mergeCell ref="A52:B52"/>
    <mergeCell ref="A54:M54"/>
    <mergeCell ref="D52:E52"/>
    <mergeCell ref="G52:M52"/>
    <mergeCell ref="A50:M50"/>
    <mergeCell ref="D48:E48"/>
    <mergeCell ref="G48:M48"/>
    <mergeCell ref="A43:H43"/>
    <mergeCell ref="C46:G46"/>
    <mergeCell ref="H46:M46"/>
    <mergeCell ref="A48:B48"/>
  </mergeCells>
  <phoneticPr fontId="0" type="noConversion"/>
  <dataValidations count="6">
    <dataValidation type="decimal" allowBlank="1" showInputMessage="1" showErrorMessage="1" error="Enter a raise between 0 &amp; 20" sqref="B59:B62 D59:D62" xr:uid="{00000000-0002-0000-0000-000000000000}">
      <formula1>0</formula1>
      <formula2>20</formula2>
    </dataValidation>
    <dataValidation type="decimal" allowBlank="1" showInputMessage="1" showErrorMessage="1" error="Make sure you enter the locality rate as a number between 0 and 50, and don't enter a % sign." sqref="H49 H51" xr:uid="{00000000-0002-0000-0000-000001000000}">
      <formula1>0</formula1>
      <formula2>50</formula2>
    </dataValidation>
    <dataValidation type="list" allowBlank="1" showInputMessage="1" showErrorMessage="1" sqref="C31" xr:uid="{00000000-0002-0000-0000-000002000000}">
      <formula1>Shift</formula1>
    </dataValidation>
    <dataValidation type="list" allowBlank="1" showInputMessage="1" showErrorMessage="1" sqref="C33" xr:uid="{00000000-0002-0000-0000-000003000000}">
      <formula1>Inspectors</formula1>
    </dataValidation>
    <dataValidation type="list" allowBlank="1" showInputMessage="1" showErrorMessage="1" sqref="C46:G46" xr:uid="{00000000-0002-0000-0000-000004000000}">
      <formula1>Locality</formula1>
    </dataValidation>
    <dataValidation type="list" allowBlank="1" showInputMessage="1" showErrorMessage="1" sqref="E39" xr:uid="{00000000-0002-0000-0000-000005000000}">
      <formula1>Post</formula1>
    </dataValidation>
  </dataValidations>
  <hyperlinks>
    <hyperlink ref="A2" r:id="rId1" xr:uid="{00000000-0004-0000-0000-000000000000}"/>
    <hyperlink ref="A2:H2" r:id="rId2" display="Developed by Anthony J. Fanchi" xr:uid="{00000000-0004-0000-0000-000001000000}"/>
    <hyperlink ref="I43" r:id="rId3" xr:uid="{00000000-0004-0000-0000-000002000000}"/>
    <hyperlink ref="K43" r:id="rId4" location="url=Overview" xr:uid="{00000000-0004-0000-0000-000003000000}"/>
    <hyperlink ref="C19:K19" location="'.'!H26" display="I don't need to read all this stuff!  Take me to the pay charts!" xr:uid="{00000000-0004-0000-0000-000004000000}"/>
    <hyperlink ref="F27:H27" location="'Pay Retention &amp; Special Rates'!D3" display="Pay Retention &amp; Special Rates" xr:uid="{00000000-0004-0000-0000-000005000000}"/>
    <hyperlink ref="A2:M2" r:id="rId5" display="Developed by Anthony J. Fanchi" xr:uid="{00000000-0004-0000-0000-000006000000}"/>
  </hyperlinks>
  <printOptions horizontalCentered="1"/>
  <pageMargins left="0.75" right="0.75" top="1" bottom="1" header="0.5" footer="0.5"/>
  <pageSetup scale="70" orientation="portrait" horizontalDpi="300" verticalDpi="300" r:id="rId6"/>
  <headerFooter alignWithMargins="0"/>
  <drawing r:id="rId7"/>
  <legacyDrawing r:id="rId8"/>
  <pictur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7"/>
  <sheetViews>
    <sheetView showGridLines="0" workbookViewId="0">
      <selection activeCell="B2" sqref="B2"/>
    </sheetView>
  </sheetViews>
  <sheetFormatPr defaultRowHeight="12.75" x14ac:dyDescent="0.2"/>
  <cols>
    <col min="1" max="1" width="9.28515625" style="40" customWidth="1"/>
    <col min="2" max="11" width="9.140625" style="40"/>
  </cols>
  <sheetData>
    <row r="1" spans="1:11" s="1" customFormat="1" ht="12.75" customHeight="1" x14ac:dyDescent="0.2">
      <c r="A1" s="52" t="s">
        <v>27</v>
      </c>
      <c r="B1" s="121"/>
      <c r="C1" s="104"/>
      <c r="D1" s="104"/>
      <c r="E1" s="104"/>
      <c r="F1" s="104"/>
      <c r="G1" s="104"/>
      <c r="H1" s="104"/>
      <c r="I1" s="104"/>
      <c r="J1" s="104"/>
      <c r="K1" s="104"/>
    </row>
    <row r="2" spans="1:11" s="1" customFormat="1" x14ac:dyDescent="0.2">
      <c r="A2" s="3" t="s">
        <v>29</v>
      </c>
      <c r="B2" s="38">
        <v>2019</v>
      </c>
      <c r="C2" s="38" t="s">
        <v>47</v>
      </c>
      <c r="D2" s="38">
        <f>B2+1</f>
        <v>2020</v>
      </c>
      <c r="E2" s="38" t="s">
        <v>47</v>
      </c>
      <c r="F2" s="38">
        <f>D2+1</f>
        <v>2021</v>
      </c>
      <c r="G2" s="38" t="s">
        <v>47</v>
      </c>
      <c r="H2" s="38">
        <f>F2+1</f>
        <v>2022</v>
      </c>
      <c r="I2" s="54" t="s">
        <v>47</v>
      </c>
      <c r="J2" s="38">
        <f>H2+1</f>
        <v>2023</v>
      </c>
      <c r="K2" s="38" t="s">
        <v>47</v>
      </c>
    </row>
    <row r="3" spans="1:11" s="1" customFormat="1" x14ac:dyDescent="0.2">
      <c r="A3" s="55" t="s">
        <v>48</v>
      </c>
      <c r="B3" s="67">
        <v>23368</v>
      </c>
      <c r="C3" s="68">
        <v>779</v>
      </c>
      <c r="D3" s="57">
        <f t="shared" ref="D3:E14" si="0">ROUND(B3+(B3*$K$17),0)</f>
        <v>23368</v>
      </c>
      <c r="E3" s="57">
        <f t="shared" si="0"/>
        <v>779</v>
      </c>
      <c r="F3" s="57">
        <f t="shared" ref="F3:G14" si="1">ROUND(D3+(D3*$K$18),0)</f>
        <v>23368</v>
      </c>
      <c r="G3" s="57">
        <f t="shared" si="1"/>
        <v>779</v>
      </c>
      <c r="H3" s="57">
        <f t="shared" ref="H3:I14" si="2">ROUND(F3+(F3*$K$19),0)</f>
        <v>23368</v>
      </c>
      <c r="I3" s="57">
        <f t="shared" si="2"/>
        <v>779</v>
      </c>
      <c r="J3" s="57">
        <f t="shared" ref="J3:K14" si="3">ROUND(H3+(H3*$K$20),0)</f>
        <v>23368</v>
      </c>
      <c r="K3" s="57">
        <f t="shared" si="3"/>
        <v>779</v>
      </c>
    </row>
    <row r="4" spans="1:11" s="1" customFormat="1" x14ac:dyDescent="0.2">
      <c r="A4" s="58" t="s">
        <v>49</v>
      </c>
      <c r="B4" s="67">
        <v>26233</v>
      </c>
      <c r="C4" s="68">
        <v>874</v>
      </c>
      <c r="D4" s="57">
        <f t="shared" si="0"/>
        <v>26233</v>
      </c>
      <c r="E4" s="57">
        <f t="shared" si="0"/>
        <v>874</v>
      </c>
      <c r="F4" s="57">
        <f t="shared" si="1"/>
        <v>26233</v>
      </c>
      <c r="G4" s="57">
        <f t="shared" si="1"/>
        <v>874</v>
      </c>
      <c r="H4" s="57">
        <f t="shared" si="2"/>
        <v>26233</v>
      </c>
      <c r="I4" s="57">
        <f t="shared" si="2"/>
        <v>874</v>
      </c>
      <c r="J4" s="57">
        <f t="shared" si="3"/>
        <v>26233</v>
      </c>
      <c r="K4" s="57">
        <f t="shared" si="3"/>
        <v>874</v>
      </c>
    </row>
    <row r="5" spans="1:11" s="1" customFormat="1" x14ac:dyDescent="0.2">
      <c r="A5" s="55" t="s">
        <v>50</v>
      </c>
      <c r="B5" s="67">
        <v>29350</v>
      </c>
      <c r="C5" s="68">
        <v>978</v>
      </c>
      <c r="D5" s="57">
        <f t="shared" si="0"/>
        <v>29350</v>
      </c>
      <c r="E5" s="57">
        <f t="shared" si="0"/>
        <v>978</v>
      </c>
      <c r="F5" s="57">
        <f t="shared" si="1"/>
        <v>29350</v>
      </c>
      <c r="G5" s="57">
        <f t="shared" si="1"/>
        <v>978</v>
      </c>
      <c r="H5" s="57">
        <f t="shared" si="2"/>
        <v>29350</v>
      </c>
      <c r="I5" s="57">
        <f t="shared" si="2"/>
        <v>978</v>
      </c>
      <c r="J5" s="57">
        <f t="shared" si="3"/>
        <v>29350</v>
      </c>
      <c r="K5" s="57">
        <f t="shared" si="3"/>
        <v>978</v>
      </c>
    </row>
    <row r="6" spans="1:11" s="1" customFormat="1" x14ac:dyDescent="0.2">
      <c r="A6" s="58" t="s">
        <v>51</v>
      </c>
      <c r="B6" s="67">
        <v>32716</v>
      </c>
      <c r="C6" s="68">
        <v>1091</v>
      </c>
      <c r="D6" s="57">
        <f t="shared" si="0"/>
        <v>32716</v>
      </c>
      <c r="E6" s="57">
        <f t="shared" si="0"/>
        <v>1091</v>
      </c>
      <c r="F6" s="57">
        <f t="shared" si="1"/>
        <v>32716</v>
      </c>
      <c r="G6" s="57">
        <f t="shared" si="1"/>
        <v>1091</v>
      </c>
      <c r="H6" s="57">
        <f t="shared" si="2"/>
        <v>32716</v>
      </c>
      <c r="I6" s="57">
        <f t="shared" si="2"/>
        <v>1091</v>
      </c>
      <c r="J6" s="57">
        <f t="shared" si="3"/>
        <v>32716</v>
      </c>
      <c r="K6" s="57">
        <f t="shared" si="3"/>
        <v>1091</v>
      </c>
    </row>
    <row r="7" spans="1:11" s="1" customFormat="1" x14ac:dyDescent="0.2">
      <c r="A7" s="55" t="s">
        <v>52</v>
      </c>
      <c r="B7" s="67">
        <v>36356</v>
      </c>
      <c r="C7" s="68">
        <v>1212</v>
      </c>
      <c r="D7" s="57">
        <f t="shared" si="0"/>
        <v>36356</v>
      </c>
      <c r="E7" s="57">
        <f t="shared" si="0"/>
        <v>1212</v>
      </c>
      <c r="F7" s="57">
        <f t="shared" si="1"/>
        <v>36356</v>
      </c>
      <c r="G7" s="57">
        <f t="shared" si="1"/>
        <v>1212</v>
      </c>
      <c r="H7" s="57">
        <f t="shared" si="2"/>
        <v>36356</v>
      </c>
      <c r="I7" s="57">
        <f t="shared" si="2"/>
        <v>1212</v>
      </c>
      <c r="J7" s="57">
        <f t="shared" si="3"/>
        <v>36356</v>
      </c>
      <c r="K7" s="57">
        <f t="shared" si="3"/>
        <v>1212</v>
      </c>
    </row>
    <row r="8" spans="1:11" s="1" customFormat="1" x14ac:dyDescent="0.2">
      <c r="A8" s="58" t="s">
        <v>53</v>
      </c>
      <c r="B8" s="67">
        <v>40263</v>
      </c>
      <c r="C8" s="68">
        <v>1342</v>
      </c>
      <c r="D8" s="57">
        <f t="shared" si="0"/>
        <v>40263</v>
      </c>
      <c r="E8" s="57">
        <f t="shared" si="0"/>
        <v>1342</v>
      </c>
      <c r="F8" s="57">
        <f t="shared" si="1"/>
        <v>40263</v>
      </c>
      <c r="G8" s="57">
        <f t="shared" si="1"/>
        <v>1342</v>
      </c>
      <c r="H8" s="57">
        <f t="shared" si="2"/>
        <v>40263</v>
      </c>
      <c r="I8" s="57">
        <f t="shared" si="2"/>
        <v>1342</v>
      </c>
      <c r="J8" s="57">
        <f t="shared" si="3"/>
        <v>40263</v>
      </c>
      <c r="K8" s="57">
        <f t="shared" si="3"/>
        <v>1342</v>
      </c>
    </row>
    <row r="9" spans="1:11" s="1" customFormat="1" x14ac:dyDescent="0.2">
      <c r="A9" s="55" t="s">
        <v>54</v>
      </c>
      <c r="B9" s="67">
        <v>44471</v>
      </c>
      <c r="C9" s="68">
        <v>1482</v>
      </c>
      <c r="D9" s="57">
        <f t="shared" si="0"/>
        <v>44471</v>
      </c>
      <c r="E9" s="57">
        <f t="shared" si="0"/>
        <v>1482</v>
      </c>
      <c r="F9" s="57">
        <f t="shared" si="1"/>
        <v>44471</v>
      </c>
      <c r="G9" s="57">
        <f t="shared" si="1"/>
        <v>1482</v>
      </c>
      <c r="H9" s="57">
        <f t="shared" si="2"/>
        <v>44471</v>
      </c>
      <c r="I9" s="57">
        <f t="shared" si="2"/>
        <v>1482</v>
      </c>
      <c r="J9" s="57">
        <f t="shared" si="3"/>
        <v>44471</v>
      </c>
      <c r="K9" s="57">
        <f t="shared" si="3"/>
        <v>1482</v>
      </c>
    </row>
    <row r="10" spans="1:11" s="1" customFormat="1" x14ac:dyDescent="0.2">
      <c r="A10" s="58" t="s">
        <v>55</v>
      </c>
      <c r="B10" s="67">
        <v>48973</v>
      </c>
      <c r="C10" s="68">
        <v>1632</v>
      </c>
      <c r="D10" s="57">
        <f t="shared" si="0"/>
        <v>48973</v>
      </c>
      <c r="E10" s="57">
        <f t="shared" si="0"/>
        <v>1632</v>
      </c>
      <c r="F10" s="57">
        <f t="shared" si="1"/>
        <v>48973</v>
      </c>
      <c r="G10" s="57">
        <f t="shared" si="1"/>
        <v>1632</v>
      </c>
      <c r="H10" s="57">
        <f t="shared" si="2"/>
        <v>48973</v>
      </c>
      <c r="I10" s="57">
        <f t="shared" si="2"/>
        <v>1632</v>
      </c>
      <c r="J10" s="57">
        <f t="shared" si="3"/>
        <v>48973</v>
      </c>
      <c r="K10" s="57">
        <f t="shared" si="3"/>
        <v>1632</v>
      </c>
    </row>
    <row r="11" spans="1:11" s="1" customFormat="1" x14ac:dyDescent="0.2">
      <c r="A11" s="55" t="s">
        <v>56</v>
      </c>
      <c r="B11" s="67">
        <v>53805</v>
      </c>
      <c r="C11" s="68">
        <v>1794</v>
      </c>
      <c r="D11" s="57">
        <f t="shared" si="0"/>
        <v>53805</v>
      </c>
      <c r="E11" s="57">
        <f t="shared" si="0"/>
        <v>1794</v>
      </c>
      <c r="F11" s="57">
        <f t="shared" si="1"/>
        <v>53805</v>
      </c>
      <c r="G11" s="57">
        <f t="shared" si="1"/>
        <v>1794</v>
      </c>
      <c r="H11" s="57">
        <f t="shared" si="2"/>
        <v>53805</v>
      </c>
      <c r="I11" s="57">
        <f t="shared" si="2"/>
        <v>1794</v>
      </c>
      <c r="J11" s="57">
        <f t="shared" si="3"/>
        <v>53805</v>
      </c>
      <c r="K11" s="57">
        <f t="shared" si="3"/>
        <v>1794</v>
      </c>
    </row>
    <row r="12" spans="1:11" s="1" customFormat="1" x14ac:dyDescent="0.2">
      <c r="A12" s="58" t="s">
        <v>57</v>
      </c>
      <c r="B12" s="67">
        <v>64490</v>
      </c>
      <c r="C12" s="68">
        <v>2150</v>
      </c>
      <c r="D12" s="57">
        <f t="shared" si="0"/>
        <v>64490</v>
      </c>
      <c r="E12" s="57">
        <f t="shared" si="0"/>
        <v>2150</v>
      </c>
      <c r="F12" s="57">
        <f t="shared" si="1"/>
        <v>64490</v>
      </c>
      <c r="G12" s="57">
        <f t="shared" si="1"/>
        <v>2150</v>
      </c>
      <c r="H12" s="57">
        <f t="shared" si="2"/>
        <v>64490</v>
      </c>
      <c r="I12" s="57">
        <f t="shared" si="2"/>
        <v>2150</v>
      </c>
      <c r="J12" s="57">
        <f t="shared" si="3"/>
        <v>64490</v>
      </c>
      <c r="K12" s="57">
        <f t="shared" si="3"/>
        <v>2150</v>
      </c>
    </row>
    <row r="13" spans="1:11" s="1" customFormat="1" x14ac:dyDescent="0.2">
      <c r="A13" s="60" t="s">
        <v>58</v>
      </c>
      <c r="B13" s="67">
        <v>76687</v>
      </c>
      <c r="C13" s="68">
        <v>2556</v>
      </c>
      <c r="D13" s="57">
        <f>ROUND(B13+(B13*$K$17),0)</f>
        <v>76687</v>
      </c>
      <c r="E13" s="57">
        <f>ROUND(C13+(C13*$K$17),0)</f>
        <v>2556</v>
      </c>
      <c r="F13" s="57">
        <f>ROUND(D13+(D13*$K$18),0)</f>
        <v>76687</v>
      </c>
      <c r="G13" s="57">
        <f>ROUND(E13+(E13*$K$18),0)</f>
        <v>2556</v>
      </c>
      <c r="H13" s="57">
        <f>ROUND(F13+(F13*$K$19),0)</f>
        <v>76687</v>
      </c>
      <c r="I13" s="57">
        <f>ROUND(G13+(G13*$K$19),0)</f>
        <v>2556</v>
      </c>
      <c r="J13" s="57">
        <f>ROUND(H13+(H13*$K$20),0)</f>
        <v>76687</v>
      </c>
      <c r="K13" s="57">
        <f>ROUND(I13+(I13*$K$20),0)</f>
        <v>2556</v>
      </c>
    </row>
    <row r="14" spans="1:11" s="1" customFormat="1" x14ac:dyDescent="0.2">
      <c r="A14" s="60" t="s">
        <v>116</v>
      </c>
      <c r="B14" s="67">
        <v>90621</v>
      </c>
      <c r="C14" s="68">
        <v>3021</v>
      </c>
      <c r="D14" s="57">
        <f t="shared" si="0"/>
        <v>90621</v>
      </c>
      <c r="E14" s="57">
        <f t="shared" si="0"/>
        <v>3021</v>
      </c>
      <c r="F14" s="57">
        <f t="shared" si="1"/>
        <v>90621</v>
      </c>
      <c r="G14" s="57">
        <f t="shared" si="1"/>
        <v>3021</v>
      </c>
      <c r="H14" s="57">
        <f t="shared" si="2"/>
        <v>90621</v>
      </c>
      <c r="I14" s="57">
        <f t="shared" si="2"/>
        <v>3021</v>
      </c>
      <c r="J14" s="57">
        <f t="shared" si="3"/>
        <v>90621</v>
      </c>
      <c r="K14" s="57">
        <f t="shared" si="3"/>
        <v>3021</v>
      </c>
    </row>
    <row r="15" spans="1:11" s="1" customFormat="1" x14ac:dyDescent="0.2">
      <c r="A15" s="61"/>
      <c r="B15" s="62"/>
      <c r="C15" s="62"/>
      <c r="D15" s="62"/>
      <c r="E15" s="62"/>
      <c r="F15" s="62"/>
      <c r="G15" s="62"/>
      <c r="H15" s="62"/>
      <c r="I15" s="62"/>
      <c r="J15" s="62"/>
      <c r="K15" s="63"/>
    </row>
    <row r="16" spans="1:11" x14ac:dyDescent="0.2">
      <c r="A16" s="3" t="s">
        <v>29</v>
      </c>
      <c r="B16" s="3">
        <f>J2+1</f>
        <v>2024</v>
      </c>
      <c r="C16" s="3" t="s">
        <v>47</v>
      </c>
      <c r="D16" s="38">
        <f>B16+1</f>
        <v>2025</v>
      </c>
      <c r="E16" s="3" t="s">
        <v>47</v>
      </c>
      <c r="F16" s="38">
        <f>D16+1</f>
        <v>2026</v>
      </c>
      <c r="G16" s="3" t="s">
        <v>47</v>
      </c>
      <c r="H16" s="38">
        <f>F16+1</f>
        <v>2027</v>
      </c>
      <c r="I16" s="3" t="s">
        <v>47</v>
      </c>
      <c r="J16" s="3" t="s">
        <v>59</v>
      </c>
      <c r="K16" s="3" t="s">
        <v>60</v>
      </c>
    </row>
    <row r="17" spans="1:11" x14ac:dyDescent="0.2">
      <c r="A17" s="55" t="s">
        <v>48</v>
      </c>
      <c r="B17" s="57">
        <f t="shared" ref="B17:B28" si="4">ROUND(J3+(J3*$K$21),0)</f>
        <v>23368</v>
      </c>
      <c r="C17" s="57">
        <f t="shared" ref="C17:C28" si="5">ROUND(K3+(K3*$K$21),0)</f>
        <v>779</v>
      </c>
      <c r="D17" s="57">
        <f t="shared" ref="D17:E28" si="6">ROUND(B17+(B17*$K$22),0)</f>
        <v>23368</v>
      </c>
      <c r="E17" s="57">
        <f t="shared" si="6"/>
        <v>779</v>
      </c>
      <c r="F17" s="57">
        <f t="shared" ref="F17:G28" si="7">ROUND(D17+(D17*$K$23),0)</f>
        <v>23368</v>
      </c>
      <c r="G17" s="57">
        <f t="shared" si="7"/>
        <v>779</v>
      </c>
      <c r="H17" s="57">
        <f t="shared" ref="H17:I28" si="8">ROUND(F17+(F17*$K$24),0)</f>
        <v>23368</v>
      </c>
      <c r="I17" s="57">
        <f t="shared" si="8"/>
        <v>779</v>
      </c>
      <c r="J17" s="64">
        <f>B2+1</f>
        <v>2020</v>
      </c>
      <c r="K17" s="65">
        <f>IF('Start Page'!B59="N/A",0,'Start Page'!B59)</f>
        <v>0</v>
      </c>
    </row>
    <row r="18" spans="1:11" x14ac:dyDescent="0.2">
      <c r="A18" s="58" t="s">
        <v>49</v>
      </c>
      <c r="B18" s="57">
        <f t="shared" si="4"/>
        <v>26233</v>
      </c>
      <c r="C18" s="57">
        <f t="shared" si="5"/>
        <v>874</v>
      </c>
      <c r="D18" s="57">
        <f t="shared" si="6"/>
        <v>26233</v>
      </c>
      <c r="E18" s="57">
        <f t="shared" si="6"/>
        <v>874</v>
      </c>
      <c r="F18" s="57">
        <f t="shared" si="7"/>
        <v>26233</v>
      </c>
      <c r="G18" s="57">
        <f t="shared" si="7"/>
        <v>874</v>
      </c>
      <c r="H18" s="57">
        <f t="shared" si="8"/>
        <v>26233</v>
      </c>
      <c r="I18" s="57">
        <f t="shared" si="8"/>
        <v>874</v>
      </c>
      <c r="J18" s="66">
        <f>J17+1</f>
        <v>2021</v>
      </c>
      <c r="K18" s="65">
        <f>IF('Start Page'!D59="N/A",0,'Start Page'!D59)</f>
        <v>0</v>
      </c>
    </row>
    <row r="19" spans="1:11" x14ac:dyDescent="0.2">
      <c r="A19" s="55" t="s">
        <v>50</v>
      </c>
      <c r="B19" s="57">
        <f t="shared" si="4"/>
        <v>29350</v>
      </c>
      <c r="C19" s="57">
        <f t="shared" si="5"/>
        <v>978</v>
      </c>
      <c r="D19" s="57">
        <f t="shared" si="6"/>
        <v>29350</v>
      </c>
      <c r="E19" s="57">
        <f t="shared" si="6"/>
        <v>978</v>
      </c>
      <c r="F19" s="57">
        <f t="shared" si="7"/>
        <v>29350</v>
      </c>
      <c r="G19" s="57">
        <f t="shared" si="7"/>
        <v>978</v>
      </c>
      <c r="H19" s="57">
        <f t="shared" si="8"/>
        <v>29350</v>
      </c>
      <c r="I19" s="57">
        <f t="shared" si="8"/>
        <v>978</v>
      </c>
      <c r="J19" s="66">
        <f t="shared" ref="J19:J24" si="9">J18+1</f>
        <v>2022</v>
      </c>
      <c r="K19" s="65">
        <f>IF('Start Page'!B60="N/A",0,'Start Page'!B60)</f>
        <v>0</v>
      </c>
    </row>
    <row r="20" spans="1:11" x14ac:dyDescent="0.2">
      <c r="A20" s="58" t="s">
        <v>51</v>
      </c>
      <c r="B20" s="57">
        <f t="shared" si="4"/>
        <v>32716</v>
      </c>
      <c r="C20" s="57">
        <f t="shared" si="5"/>
        <v>1091</v>
      </c>
      <c r="D20" s="57">
        <f t="shared" si="6"/>
        <v>32716</v>
      </c>
      <c r="E20" s="57">
        <f t="shared" si="6"/>
        <v>1091</v>
      </c>
      <c r="F20" s="57">
        <f t="shared" si="7"/>
        <v>32716</v>
      </c>
      <c r="G20" s="57">
        <f t="shared" si="7"/>
        <v>1091</v>
      </c>
      <c r="H20" s="57">
        <f t="shared" si="8"/>
        <v>32716</v>
      </c>
      <c r="I20" s="57">
        <f t="shared" si="8"/>
        <v>1091</v>
      </c>
      <c r="J20" s="66">
        <f t="shared" si="9"/>
        <v>2023</v>
      </c>
      <c r="K20" s="65">
        <f>IF('Start Page'!D60="N/A",0,'Start Page'!D60)</f>
        <v>0</v>
      </c>
    </row>
    <row r="21" spans="1:11" x14ac:dyDescent="0.2">
      <c r="A21" s="55" t="s">
        <v>52</v>
      </c>
      <c r="B21" s="57">
        <f t="shared" si="4"/>
        <v>36356</v>
      </c>
      <c r="C21" s="57">
        <f t="shared" si="5"/>
        <v>1212</v>
      </c>
      <c r="D21" s="57">
        <f t="shared" si="6"/>
        <v>36356</v>
      </c>
      <c r="E21" s="57">
        <f t="shared" si="6"/>
        <v>1212</v>
      </c>
      <c r="F21" s="57">
        <f t="shared" si="7"/>
        <v>36356</v>
      </c>
      <c r="G21" s="57">
        <f t="shared" si="7"/>
        <v>1212</v>
      </c>
      <c r="H21" s="57">
        <f t="shared" si="8"/>
        <v>36356</v>
      </c>
      <c r="I21" s="57">
        <f t="shared" si="8"/>
        <v>1212</v>
      </c>
      <c r="J21" s="66">
        <f t="shared" si="9"/>
        <v>2024</v>
      </c>
      <c r="K21" s="65">
        <f>IF('Start Page'!B61="N/A",0,'Start Page'!B61)</f>
        <v>0</v>
      </c>
    </row>
    <row r="22" spans="1:11" x14ac:dyDescent="0.2">
      <c r="A22" s="58" t="s">
        <v>53</v>
      </c>
      <c r="B22" s="57">
        <f t="shared" si="4"/>
        <v>40263</v>
      </c>
      <c r="C22" s="57">
        <f t="shared" si="5"/>
        <v>1342</v>
      </c>
      <c r="D22" s="57">
        <f t="shared" si="6"/>
        <v>40263</v>
      </c>
      <c r="E22" s="57">
        <f t="shared" si="6"/>
        <v>1342</v>
      </c>
      <c r="F22" s="57">
        <f t="shared" si="7"/>
        <v>40263</v>
      </c>
      <c r="G22" s="57">
        <f t="shared" si="7"/>
        <v>1342</v>
      </c>
      <c r="H22" s="57">
        <f t="shared" si="8"/>
        <v>40263</v>
      </c>
      <c r="I22" s="57">
        <f t="shared" si="8"/>
        <v>1342</v>
      </c>
      <c r="J22" s="66">
        <f t="shared" si="9"/>
        <v>2025</v>
      </c>
      <c r="K22" s="65">
        <f>IF('Start Page'!D61="N/A",0,'Start Page'!D61)</f>
        <v>0</v>
      </c>
    </row>
    <row r="23" spans="1:11" x14ac:dyDescent="0.2">
      <c r="A23" s="55" t="s">
        <v>54</v>
      </c>
      <c r="B23" s="57">
        <f t="shared" si="4"/>
        <v>44471</v>
      </c>
      <c r="C23" s="57">
        <f t="shared" si="5"/>
        <v>1482</v>
      </c>
      <c r="D23" s="57">
        <f t="shared" si="6"/>
        <v>44471</v>
      </c>
      <c r="E23" s="57">
        <f t="shared" si="6"/>
        <v>1482</v>
      </c>
      <c r="F23" s="57">
        <f t="shared" si="7"/>
        <v>44471</v>
      </c>
      <c r="G23" s="57">
        <f t="shared" si="7"/>
        <v>1482</v>
      </c>
      <c r="H23" s="57">
        <f t="shared" si="8"/>
        <v>44471</v>
      </c>
      <c r="I23" s="57">
        <f t="shared" si="8"/>
        <v>1482</v>
      </c>
      <c r="J23" s="66">
        <f t="shared" si="9"/>
        <v>2026</v>
      </c>
      <c r="K23" s="65">
        <f>IF('Start Page'!B62="N/A",0,'Start Page'!B62)</f>
        <v>0</v>
      </c>
    </row>
    <row r="24" spans="1:11" x14ac:dyDescent="0.2">
      <c r="A24" s="58" t="s">
        <v>55</v>
      </c>
      <c r="B24" s="57">
        <f t="shared" si="4"/>
        <v>48973</v>
      </c>
      <c r="C24" s="57">
        <f t="shared" si="5"/>
        <v>1632</v>
      </c>
      <c r="D24" s="57">
        <f t="shared" si="6"/>
        <v>48973</v>
      </c>
      <c r="E24" s="57">
        <f t="shared" si="6"/>
        <v>1632</v>
      </c>
      <c r="F24" s="57">
        <f t="shared" si="7"/>
        <v>48973</v>
      </c>
      <c r="G24" s="57">
        <f t="shared" si="7"/>
        <v>1632</v>
      </c>
      <c r="H24" s="57">
        <f t="shared" si="8"/>
        <v>48973</v>
      </c>
      <c r="I24" s="57">
        <f t="shared" si="8"/>
        <v>1632</v>
      </c>
      <c r="J24" s="66">
        <f t="shared" si="9"/>
        <v>2027</v>
      </c>
      <c r="K24" s="65">
        <f>IF('Start Page'!D62="N/A",0,'Start Page'!D62)</f>
        <v>0</v>
      </c>
    </row>
    <row r="25" spans="1:11" x14ac:dyDescent="0.2">
      <c r="A25" s="55" t="s">
        <v>56</v>
      </c>
      <c r="B25" s="57">
        <f t="shared" si="4"/>
        <v>53805</v>
      </c>
      <c r="C25" s="57">
        <f t="shared" si="5"/>
        <v>1794</v>
      </c>
      <c r="D25" s="57">
        <f t="shared" si="6"/>
        <v>53805</v>
      </c>
      <c r="E25" s="57">
        <f t="shared" si="6"/>
        <v>1794</v>
      </c>
      <c r="F25" s="57">
        <f t="shared" si="7"/>
        <v>53805</v>
      </c>
      <c r="G25" s="57">
        <f t="shared" si="7"/>
        <v>1794</v>
      </c>
      <c r="H25" s="57">
        <f t="shared" si="8"/>
        <v>53805</v>
      </c>
      <c r="I25" s="57">
        <f t="shared" si="8"/>
        <v>1794</v>
      </c>
      <c r="J25" s="56"/>
      <c r="K25" s="56"/>
    </row>
    <row r="26" spans="1:11" x14ac:dyDescent="0.2">
      <c r="A26" s="58" t="s">
        <v>57</v>
      </c>
      <c r="B26" s="57">
        <f t="shared" si="4"/>
        <v>64490</v>
      </c>
      <c r="C26" s="57">
        <f t="shared" si="5"/>
        <v>2150</v>
      </c>
      <c r="D26" s="57">
        <f t="shared" si="6"/>
        <v>64490</v>
      </c>
      <c r="E26" s="57">
        <f t="shared" si="6"/>
        <v>2150</v>
      </c>
      <c r="F26" s="57">
        <f t="shared" si="7"/>
        <v>64490</v>
      </c>
      <c r="G26" s="57">
        <f t="shared" si="7"/>
        <v>2150</v>
      </c>
      <c r="H26" s="57">
        <f t="shared" si="8"/>
        <v>64490</v>
      </c>
      <c r="I26" s="57">
        <f t="shared" si="8"/>
        <v>2150</v>
      </c>
      <c r="J26" s="59"/>
      <c r="K26" s="59"/>
    </row>
    <row r="27" spans="1:11" x14ac:dyDescent="0.2">
      <c r="A27" s="55" t="s">
        <v>58</v>
      </c>
      <c r="B27" s="57">
        <f t="shared" si="4"/>
        <v>76687</v>
      </c>
      <c r="C27" s="57">
        <f t="shared" si="5"/>
        <v>2556</v>
      </c>
      <c r="D27" s="57">
        <f>ROUND(B27+(B27*$K$22),0)</f>
        <v>76687</v>
      </c>
      <c r="E27" s="57">
        <f>ROUND(C27+(C27*$K$22),0)</f>
        <v>2556</v>
      </c>
      <c r="F27" s="57">
        <f>ROUND(D27+(D27*$K$23),0)</f>
        <v>76687</v>
      </c>
      <c r="G27" s="57">
        <f>ROUND(E27+(E27*$K$23),0)</f>
        <v>2556</v>
      </c>
      <c r="H27" s="57">
        <f>ROUND(F27+(F27*$K$24),0)</f>
        <v>76687</v>
      </c>
      <c r="I27" s="57">
        <f>ROUND(G27+(G27*$K$24),0)</f>
        <v>2556</v>
      </c>
      <c r="J27" s="59"/>
      <c r="K27" s="59"/>
    </row>
    <row r="28" spans="1:11" x14ac:dyDescent="0.2">
      <c r="A28" s="55" t="s">
        <v>116</v>
      </c>
      <c r="B28" s="57">
        <f t="shared" si="4"/>
        <v>90621</v>
      </c>
      <c r="C28" s="57">
        <f t="shared" si="5"/>
        <v>3021</v>
      </c>
      <c r="D28" s="57">
        <f t="shared" si="6"/>
        <v>90621</v>
      </c>
      <c r="E28" s="57">
        <f t="shared" si="6"/>
        <v>3021</v>
      </c>
      <c r="F28" s="57">
        <f t="shared" si="7"/>
        <v>90621</v>
      </c>
      <c r="G28" s="57">
        <f t="shared" si="7"/>
        <v>3021</v>
      </c>
      <c r="H28" s="57">
        <f t="shared" si="8"/>
        <v>90621</v>
      </c>
      <c r="I28" s="57">
        <f t="shared" si="8"/>
        <v>3021</v>
      </c>
      <c r="J28" s="56"/>
      <c r="K28" s="56"/>
    </row>
    <row r="30" spans="1:11" x14ac:dyDescent="0.2">
      <c r="A30" s="46" t="s">
        <v>40</v>
      </c>
    </row>
    <row r="31" spans="1:11" x14ac:dyDescent="0.2">
      <c r="A31" s="40">
        <v>84</v>
      </c>
    </row>
    <row r="32" spans="1:11" x14ac:dyDescent="0.2">
      <c r="A32" s="40">
        <v>72</v>
      </c>
    </row>
    <row r="33" spans="1:1" x14ac:dyDescent="0.2">
      <c r="A33" s="40">
        <v>60</v>
      </c>
    </row>
    <row r="34" spans="1:1" x14ac:dyDescent="0.2">
      <c r="A34" s="40">
        <v>56</v>
      </c>
    </row>
    <row r="35" spans="1:1" x14ac:dyDescent="0.2">
      <c r="A35" s="46" t="s">
        <v>92</v>
      </c>
    </row>
    <row r="36" spans="1:1" x14ac:dyDescent="0.2">
      <c r="A36" s="53" t="s">
        <v>104</v>
      </c>
    </row>
    <row r="37" spans="1:1" x14ac:dyDescent="0.2">
      <c r="A37" s="53" t="s">
        <v>105</v>
      </c>
    </row>
  </sheetData>
  <sheetProtection algorithmName="SHA-512" hashValue="kl/ZoA2jdILt1bHzz+u2tNZYmOGoJlE6djv5ZqqIgg1virZdZQcnWvX+VP70kl+NpFoRgQstn3WF3HBRrbvJnA==" saltValue="FhcNhil94tWjnQAzs2wvoA==" spinCount="100000" sheet="1" objects="1" scenarios="1"/>
  <mergeCells count="1">
    <mergeCell ref="B1:K1"/>
  </mergeCells>
  <phoneticPr fontId="0" type="noConversion"/>
  <printOptions horizontalCentered="1"/>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
  <sheetViews>
    <sheetView workbookViewId="0">
      <selection activeCell="A2" sqref="A2"/>
    </sheetView>
  </sheetViews>
  <sheetFormatPr defaultRowHeight="12.75" x14ac:dyDescent="0.2"/>
  <cols>
    <col min="1" max="11" width="9.140625" style="40"/>
  </cols>
  <sheetData>
    <row r="1" spans="1:11" s="1" customFormat="1" x14ac:dyDescent="0.2">
      <c r="A1" s="53"/>
      <c r="B1" s="53"/>
      <c r="C1" s="53"/>
      <c r="D1" s="53"/>
      <c r="E1" s="43" t="s">
        <v>61</v>
      </c>
      <c r="F1" s="53"/>
      <c r="G1" s="53"/>
      <c r="H1" s="6"/>
      <c r="I1" s="53"/>
      <c r="J1" s="53"/>
      <c r="K1" s="53"/>
    </row>
    <row r="2" spans="1:11" s="1" customFormat="1" ht="12.75" customHeight="1" x14ac:dyDescent="0.2">
      <c r="A2" s="2" t="s">
        <v>27</v>
      </c>
      <c r="B2" s="122" t="s">
        <v>28</v>
      </c>
      <c r="C2" s="123"/>
      <c r="D2" s="123"/>
      <c r="E2" s="123"/>
      <c r="F2" s="123"/>
      <c r="G2" s="123"/>
      <c r="H2" s="123"/>
      <c r="I2" s="123"/>
      <c r="J2" s="123"/>
      <c r="K2" s="124"/>
    </row>
    <row r="3" spans="1:11" s="1" customFormat="1" x14ac:dyDescent="0.2">
      <c r="A3" s="3" t="s">
        <v>29</v>
      </c>
      <c r="B3" s="4">
        <v>1</v>
      </c>
      <c r="C3" s="4">
        <v>2</v>
      </c>
      <c r="D3" s="4">
        <v>3</v>
      </c>
      <c r="E3" s="4">
        <v>4</v>
      </c>
      <c r="F3" s="4">
        <v>5</v>
      </c>
      <c r="G3" s="4">
        <v>6</v>
      </c>
      <c r="H3" s="4">
        <v>7</v>
      </c>
      <c r="I3" s="4">
        <v>8</v>
      </c>
      <c r="J3" s="4">
        <v>9</v>
      </c>
      <c r="K3" s="4">
        <v>10</v>
      </c>
    </row>
    <row r="4" spans="1:11" s="1" customFormat="1" x14ac:dyDescent="0.2">
      <c r="A4" s="5">
        <v>3</v>
      </c>
      <c r="B4" s="57">
        <f>'GS Pay Calculator'!H17</f>
        <v>23368</v>
      </c>
      <c r="C4" s="57">
        <f>B4+'GS Pay Calculator'!$I17</f>
        <v>24147</v>
      </c>
      <c r="D4" s="57">
        <f>C4+'GS Pay Calculator'!$I17</f>
        <v>24926</v>
      </c>
      <c r="E4" s="57">
        <f>D4+'GS Pay Calculator'!$I17</f>
        <v>25705</v>
      </c>
      <c r="F4" s="57">
        <f>E4+'GS Pay Calculator'!$I17</f>
        <v>26484</v>
      </c>
      <c r="G4" s="57">
        <f>F4+'GS Pay Calculator'!$I17</f>
        <v>27263</v>
      </c>
      <c r="H4" s="57">
        <f>G4+'GS Pay Calculator'!$I17</f>
        <v>28042</v>
      </c>
      <c r="I4" s="57">
        <f>H4+'GS Pay Calculator'!$I17</f>
        <v>28821</v>
      </c>
      <c r="J4" s="57">
        <f>I4+'GS Pay Calculator'!$I17</f>
        <v>29600</v>
      </c>
      <c r="K4" s="57">
        <f>J4+'GS Pay Calculator'!$I17</f>
        <v>30379</v>
      </c>
    </row>
    <row r="5" spans="1:11" s="1" customFormat="1" x14ac:dyDescent="0.2">
      <c r="A5" s="5">
        <v>4</v>
      </c>
      <c r="B5" s="57">
        <f>'GS Pay Calculator'!H18</f>
        <v>26233</v>
      </c>
      <c r="C5" s="57">
        <f>B5+'GS Pay Calculator'!$I18</f>
        <v>27107</v>
      </c>
      <c r="D5" s="57">
        <f>C5+'GS Pay Calculator'!$I18</f>
        <v>27981</v>
      </c>
      <c r="E5" s="57">
        <f>D5+'GS Pay Calculator'!$I18</f>
        <v>28855</v>
      </c>
      <c r="F5" s="57">
        <f>E5+'GS Pay Calculator'!$I18</f>
        <v>29729</v>
      </c>
      <c r="G5" s="57">
        <f>F5+'GS Pay Calculator'!$I18</f>
        <v>30603</v>
      </c>
      <c r="H5" s="57">
        <f>G5+'GS Pay Calculator'!$I18</f>
        <v>31477</v>
      </c>
      <c r="I5" s="57">
        <f>H5+'GS Pay Calculator'!$I18</f>
        <v>32351</v>
      </c>
      <c r="J5" s="57">
        <f>I5+'GS Pay Calculator'!$I18</f>
        <v>33225</v>
      </c>
      <c r="K5" s="57">
        <f>J5+'GS Pay Calculator'!$I18</f>
        <v>34099</v>
      </c>
    </row>
    <row r="6" spans="1:11" s="1" customFormat="1" x14ac:dyDescent="0.2">
      <c r="A6" s="5">
        <v>5</v>
      </c>
      <c r="B6" s="57">
        <f>'GS Pay Calculator'!H19</f>
        <v>29350</v>
      </c>
      <c r="C6" s="57">
        <f>B6+'GS Pay Calculator'!$I19</f>
        <v>30328</v>
      </c>
      <c r="D6" s="57">
        <f>C6+'GS Pay Calculator'!$I19</f>
        <v>31306</v>
      </c>
      <c r="E6" s="57">
        <f>D6+'GS Pay Calculator'!$I19</f>
        <v>32284</v>
      </c>
      <c r="F6" s="57">
        <f>E6+'GS Pay Calculator'!$I19</f>
        <v>33262</v>
      </c>
      <c r="G6" s="57">
        <f>F6+'GS Pay Calculator'!$I19</f>
        <v>34240</v>
      </c>
      <c r="H6" s="57">
        <f>G6+'GS Pay Calculator'!$I19</f>
        <v>35218</v>
      </c>
      <c r="I6" s="57">
        <f>H6+'GS Pay Calculator'!$I19</f>
        <v>36196</v>
      </c>
      <c r="J6" s="57">
        <f>I6+'GS Pay Calculator'!$I19</f>
        <v>37174</v>
      </c>
      <c r="K6" s="57">
        <f>J6+'GS Pay Calculator'!$I19</f>
        <v>38152</v>
      </c>
    </row>
    <row r="7" spans="1:11" s="1" customFormat="1" x14ac:dyDescent="0.2">
      <c r="A7" s="5">
        <v>6</v>
      </c>
      <c r="B7" s="57">
        <f>'GS Pay Calculator'!H20</f>
        <v>32716</v>
      </c>
      <c r="C7" s="57">
        <f>B7+'GS Pay Calculator'!$I20</f>
        <v>33807</v>
      </c>
      <c r="D7" s="57">
        <f>C7+'GS Pay Calculator'!$I20</f>
        <v>34898</v>
      </c>
      <c r="E7" s="57">
        <f>D7+'GS Pay Calculator'!$I20</f>
        <v>35989</v>
      </c>
      <c r="F7" s="57">
        <f>E7+'GS Pay Calculator'!$I20</f>
        <v>37080</v>
      </c>
      <c r="G7" s="57">
        <f>F7+'GS Pay Calculator'!$I20</f>
        <v>38171</v>
      </c>
      <c r="H7" s="57">
        <f>G7+'GS Pay Calculator'!$I20</f>
        <v>39262</v>
      </c>
      <c r="I7" s="57">
        <f>H7+'GS Pay Calculator'!$I20</f>
        <v>40353</v>
      </c>
      <c r="J7" s="57">
        <f>I7+'GS Pay Calculator'!$I20</f>
        <v>41444</v>
      </c>
      <c r="K7" s="57">
        <f>J7+'GS Pay Calculator'!$I20</f>
        <v>42535</v>
      </c>
    </row>
    <row r="8" spans="1:11" s="1" customFormat="1" x14ac:dyDescent="0.2">
      <c r="A8" s="5">
        <v>7</v>
      </c>
      <c r="B8" s="57">
        <f>'GS Pay Calculator'!H21</f>
        <v>36356</v>
      </c>
      <c r="C8" s="57">
        <f>B8+'GS Pay Calculator'!$I21</f>
        <v>37568</v>
      </c>
      <c r="D8" s="57">
        <f>C8+'GS Pay Calculator'!$I21</f>
        <v>38780</v>
      </c>
      <c r="E8" s="57">
        <f>D8+'GS Pay Calculator'!$I21</f>
        <v>39992</v>
      </c>
      <c r="F8" s="57">
        <f>E8+'GS Pay Calculator'!$I21</f>
        <v>41204</v>
      </c>
      <c r="G8" s="57">
        <f>F8+'GS Pay Calculator'!$I21</f>
        <v>42416</v>
      </c>
      <c r="H8" s="57">
        <f>G8+'GS Pay Calculator'!$I21</f>
        <v>43628</v>
      </c>
      <c r="I8" s="57">
        <f>H8+'GS Pay Calculator'!$I21</f>
        <v>44840</v>
      </c>
      <c r="J8" s="57">
        <f>I8+'GS Pay Calculator'!$I21</f>
        <v>46052</v>
      </c>
      <c r="K8" s="57">
        <f>J8+'GS Pay Calculator'!$I21</f>
        <v>47264</v>
      </c>
    </row>
    <row r="9" spans="1:11" s="1" customFormat="1" x14ac:dyDescent="0.2">
      <c r="A9" s="5">
        <v>8</v>
      </c>
      <c r="B9" s="57">
        <f>'GS Pay Calculator'!H22</f>
        <v>40263</v>
      </c>
      <c r="C9" s="57">
        <f>B9+'GS Pay Calculator'!$I22</f>
        <v>41605</v>
      </c>
      <c r="D9" s="57">
        <f>C9+'GS Pay Calculator'!$I22</f>
        <v>42947</v>
      </c>
      <c r="E9" s="57">
        <f>D9+'GS Pay Calculator'!$I22</f>
        <v>44289</v>
      </c>
      <c r="F9" s="57">
        <f>E9+'GS Pay Calculator'!$I22</f>
        <v>45631</v>
      </c>
      <c r="G9" s="57">
        <f>F9+'GS Pay Calculator'!$I22</f>
        <v>46973</v>
      </c>
      <c r="H9" s="57">
        <f>G9+'GS Pay Calculator'!$I22</f>
        <v>48315</v>
      </c>
      <c r="I9" s="57">
        <f>H9+'GS Pay Calculator'!$I22</f>
        <v>49657</v>
      </c>
      <c r="J9" s="57">
        <f>I9+'GS Pay Calculator'!$I22</f>
        <v>50999</v>
      </c>
      <c r="K9" s="57">
        <f>J9+'GS Pay Calculator'!$I22</f>
        <v>52341</v>
      </c>
    </row>
    <row r="10" spans="1:11" s="1" customFormat="1" x14ac:dyDescent="0.2">
      <c r="A10" s="5">
        <v>9</v>
      </c>
      <c r="B10" s="57">
        <f>'GS Pay Calculator'!H23</f>
        <v>44471</v>
      </c>
      <c r="C10" s="57">
        <f>B10+'GS Pay Calculator'!$I23</f>
        <v>45953</v>
      </c>
      <c r="D10" s="57">
        <f>C10+'GS Pay Calculator'!$I23</f>
        <v>47435</v>
      </c>
      <c r="E10" s="57">
        <f>D10+'GS Pay Calculator'!$I23</f>
        <v>48917</v>
      </c>
      <c r="F10" s="57">
        <f>E10+'GS Pay Calculator'!$I23</f>
        <v>50399</v>
      </c>
      <c r="G10" s="57">
        <f>F10+'GS Pay Calculator'!$I23</f>
        <v>51881</v>
      </c>
      <c r="H10" s="57">
        <f>G10+'GS Pay Calculator'!$I23</f>
        <v>53363</v>
      </c>
      <c r="I10" s="57">
        <f>H10+'GS Pay Calculator'!$I23</f>
        <v>54845</v>
      </c>
      <c r="J10" s="57">
        <f>I10+'GS Pay Calculator'!$I23</f>
        <v>56327</v>
      </c>
      <c r="K10" s="57">
        <f>J10+'GS Pay Calculator'!$I23</f>
        <v>57809</v>
      </c>
    </row>
    <row r="11" spans="1:11" s="1" customFormat="1" x14ac:dyDescent="0.2">
      <c r="A11" s="5">
        <v>10</v>
      </c>
      <c r="B11" s="57">
        <f>'GS Pay Calculator'!H24</f>
        <v>48973</v>
      </c>
      <c r="C11" s="57">
        <f>B11+'GS Pay Calculator'!$I24</f>
        <v>50605</v>
      </c>
      <c r="D11" s="57">
        <f>C11+'GS Pay Calculator'!$I24</f>
        <v>52237</v>
      </c>
      <c r="E11" s="57">
        <f>D11+'GS Pay Calculator'!$I24</f>
        <v>53869</v>
      </c>
      <c r="F11" s="57">
        <f>E11+'GS Pay Calculator'!$I24</f>
        <v>55501</v>
      </c>
      <c r="G11" s="57">
        <f>F11+'GS Pay Calculator'!$I24</f>
        <v>57133</v>
      </c>
      <c r="H11" s="57">
        <f>G11+'GS Pay Calculator'!$I24</f>
        <v>58765</v>
      </c>
      <c r="I11" s="57">
        <f>H11+'GS Pay Calculator'!$I24</f>
        <v>60397</v>
      </c>
      <c r="J11" s="57">
        <f>I11+'GS Pay Calculator'!$I24</f>
        <v>62029</v>
      </c>
      <c r="K11" s="57">
        <f>J11+'GS Pay Calculator'!$I24</f>
        <v>63661</v>
      </c>
    </row>
    <row r="12" spans="1:11" s="1" customFormat="1" x14ac:dyDescent="0.2">
      <c r="A12" s="5">
        <v>11</v>
      </c>
      <c r="B12" s="57">
        <f>'GS Pay Calculator'!H25</f>
        <v>53805</v>
      </c>
      <c r="C12" s="57">
        <f>B12+'GS Pay Calculator'!$I25</f>
        <v>55599</v>
      </c>
      <c r="D12" s="57">
        <f>C12+'GS Pay Calculator'!$I25</f>
        <v>57393</v>
      </c>
      <c r="E12" s="57">
        <f>D12+'GS Pay Calculator'!$I25</f>
        <v>59187</v>
      </c>
      <c r="F12" s="57">
        <f>E12+'GS Pay Calculator'!$I25</f>
        <v>60981</v>
      </c>
      <c r="G12" s="57">
        <f>F12+'GS Pay Calculator'!$I25</f>
        <v>62775</v>
      </c>
      <c r="H12" s="57">
        <f>G12+'GS Pay Calculator'!$I25</f>
        <v>64569</v>
      </c>
      <c r="I12" s="57">
        <f>H12+'GS Pay Calculator'!$I25</f>
        <v>66363</v>
      </c>
      <c r="J12" s="57">
        <f>I12+'GS Pay Calculator'!$I25</f>
        <v>68157</v>
      </c>
      <c r="K12" s="57">
        <f>J12+'GS Pay Calculator'!$I25</f>
        <v>69951</v>
      </c>
    </row>
    <row r="13" spans="1:11" s="1" customFormat="1" x14ac:dyDescent="0.2">
      <c r="A13" s="5">
        <v>12</v>
      </c>
      <c r="B13" s="57">
        <f>'GS Pay Calculator'!H26</f>
        <v>64490</v>
      </c>
      <c r="C13" s="57">
        <f>B13+'GS Pay Calculator'!$I26</f>
        <v>66640</v>
      </c>
      <c r="D13" s="57">
        <f>C13+'GS Pay Calculator'!$I26</f>
        <v>68790</v>
      </c>
      <c r="E13" s="57">
        <f>D13+'GS Pay Calculator'!$I26</f>
        <v>70940</v>
      </c>
      <c r="F13" s="57">
        <f>E13+'GS Pay Calculator'!$I26</f>
        <v>73090</v>
      </c>
      <c r="G13" s="57">
        <f>F13+'GS Pay Calculator'!$I26</f>
        <v>75240</v>
      </c>
      <c r="H13" s="57">
        <f>G13+'GS Pay Calculator'!$I26</f>
        <v>77390</v>
      </c>
      <c r="I13" s="57">
        <f>H13+'GS Pay Calculator'!$I26</f>
        <v>79540</v>
      </c>
      <c r="J13" s="57">
        <f>I13+'GS Pay Calculator'!$I26</f>
        <v>81690</v>
      </c>
      <c r="K13" s="57">
        <f>J13+'GS Pay Calculator'!$I26</f>
        <v>83840</v>
      </c>
    </row>
    <row r="14" spans="1:11" s="1" customFormat="1" x14ac:dyDescent="0.2">
      <c r="A14" s="5">
        <v>13</v>
      </c>
      <c r="B14" s="57">
        <f>'GS Pay Calculator'!H27</f>
        <v>76687</v>
      </c>
      <c r="C14" s="57">
        <f>B14+'GS Pay Calculator'!$I27</f>
        <v>79243</v>
      </c>
      <c r="D14" s="57">
        <f>C14+'GS Pay Calculator'!$I27</f>
        <v>81799</v>
      </c>
      <c r="E14" s="57">
        <f>D14+'GS Pay Calculator'!$I27</f>
        <v>84355</v>
      </c>
      <c r="F14" s="57">
        <f>E14+'GS Pay Calculator'!$I27</f>
        <v>86911</v>
      </c>
      <c r="G14" s="57">
        <f>F14+'GS Pay Calculator'!$I27</f>
        <v>89467</v>
      </c>
      <c r="H14" s="57">
        <f>G14+'GS Pay Calculator'!$I27</f>
        <v>92023</v>
      </c>
      <c r="I14" s="57">
        <f>H14+'GS Pay Calculator'!$I27</f>
        <v>94579</v>
      </c>
      <c r="J14" s="57">
        <f>I14+'GS Pay Calculator'!$I27</f>
        <v>97135</v>
      </c>
      <c r="K14" s="57">
        <f>J14+'GS Pay Calculator'!$I27</f>
        <v>99691</v>
      </c>
    </row>
    <row r="15" spans="1:11" s="1" customFormat="1" x14ac:dyDescent="0.2">
      <c r="A15" s="5">
        <v>14</v>
      </c>
      <c r="B15" s="57">
        <f>'GS Pay Calculator'!H28</f>
        <v>90621</v>
      </c>
      <c r="C15" s="57">
        <f>B15+'GS Pay Calculator'!$I28</f>
        <v>93642</v>
      </c>
      <c r="D15" s="57">
        <f>C15+'GS Pay Calculator'!$I28</f>
        <v>96663</v>
      </c>
      <c r="E15" s="57">
        <f>D15+'GS Pay Calculator'!$I28</f>
        <v>99684</v>
      </c>
      <c r="F15" s="57">
        <f>E15+'GS Pay Calculator'!$I28</f>
        <v>102705</v>
      </c>
      <c r="G15" s="57">
        <f>F15+'GS Pay Calculator'!$I28</f>
        <v>105726</v>
      </c>
      <c r="H15" s="57">
        <f>G15+'GS Pay Calculator'!$I28</f>
        <v>108747</v>
      </c>
      <c r="I15" s="57">
        <f>H15+'GS Pay Calculator'!$I28</f>
        <v>111768</v>
      </c>
      <c r="J15" s="57">
        <f>I15+'GS Pay Calculator'!$I28</f>
        <v>114789</v>
      </c>
      <c r="K15" s="57">
        <f>J15+'GS Pay Calculator'!$I28</f>
        <v>117810</v>
      </c>
    </row>
  </sheetData>
  <sheetProtection password="CCE4" sheet="1" objects="1" scenarios="1"/>
  <mergeCells count="1">
    <mergeCell ref="B2:K2"/>
  </mergeCells>
  <phoneticPr fontId="0" type="noConversion"/>
  <printOptions horizontalCentered="1"/>
  <pageMargins left="0.75" right="0.75" top="1" bottom="1" header="0.5" footer="0.5"/>
  <pageSetup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5"/>
  <sheetViews>
    <sheetView showGridLines="0" topLeftCell="A45" zoomScaleNormal="100" workbookViewId="0"/>
  </sheetViews>
  <sheetFormatPr defaultRowHeight="12.75" x14ac:dyDescent="0.2"/>
  <cols>
    <col min="1" max="1" width="50.5703125" style="140" customWidth="1"/>
    <col min="2" max="6" width="15.7109375" style="140" customWidth="1"/>
    <col min="7" max="16384" width="9.140625" style="140"/>
  </cols>
  <sheetData>
    <row r="1" spans="1:6" ht="15" customHeight="1" x14ac:dyDescent="0.2">
      <c r="A1" s="85" t="s">
        <v>114</v>
      </c>
      <c r="B1" s="85" t="s">
        <v>115</v>
      </c>
      <c r="C1" s="100" t="s">
        <v>183</v>
      </c>
      <c r="D1" s="137" t="s">
        <v>106</v>
      </c>
      <c r="E1" s="137" t="s">
        <v>107</v>
      </c>
      <c r="F1" s="137" t="s">
        <v>184</v>
      </c>
    </row>
    <row r="2" spans="1:6" ht="15" customHeight="1" x14ac:dyDescent="0.2">
      <c r="A2" s="141" t="s">
        <v>86</v>
      </c>
      <c r="B2" s="138">
        <v>0.15670000000000001</v>
      </c>
      <c r="C2" s="138">
        <f t="shared" ref="C2:C47" si="0">IF((E2+F2)&gt;0.25,0.25,E2+F2)</f>
        <v>0</v>
      </c>
      <c r="D2" s="138">
        <v>0</v>
      </c>
      <c r="E2" s="139">
        <f t="shared" ref="E2:E61" si="1">IF((ROUND(D2-(B2*0.65),4)/(1+B2))&lt;0,0,ROUND(D2-(B2*0.65),4)/(1+B2))</f>
        <v>0</v>
      </c>
      <c r="F2" s="139">
        <v>0</v>
      </c>
    </row>
    <row r="3" spans="1:6" ht="15" customHeight="1" x14ac:dyDescent="0.2">
      <c r="A3" s="141" t="s">
        <v>110</v>
      </c>
      <c r="B3" s="138">
        <v>0.28889999999999999</v>
      </c>
      <c r="C3" s="138">
        <f t="shared" si="0"/>
        <v>3.2741097059508111E-2</v>
      </c>
      <c r="D3" s="139">
        <v>0.23</v>
      </c>
      <c r="E3" s="139">
        <f>IF((ROUND(D3-(B3*0.65),4)/(1+B3))&lt;0,0,ROUND(D3-(B3*0.65),4)/(1+B3))</f>
        <v>3.2741097059508111E-2</v>
      </c>
      <c r="F3" s="139">
        <v>0</v>
      </c>
    </row>
    <row r="4" spans="1:6" ht="15" customHeight="1" x14ac:dyDescent="0.2">
      <c r="A4" s="141" t="s">
        <v>111</v>
      </c>
      <c r="B4" s="138">
        <v>0.28889999999999999</v>
      </c>
      <c r="C4" s="138">
        <f t="shared" si="0"/>
        <v>4.8258204670649389E-2</v>
      </c>
      <c r="D4" s="138">
        <v>0.25</v>
      </c>
      <c r="E4" s="138">
        <f>IF((ROUND(D4-(B4*0.65),4)/(1+B4))&lt;0,0,ROUND(D4-(B4*0.65),4)/(1+B4))</f>
        <v>4.8258204670649389E-2</v>
      </c>
      <c r="F4" s="138">
        <v>0</v>
      </c>
    </row>
    <row r="5" spans="1:6" ht="15" customHeight="1" x14ac:dyDescent="0.2">
      <c r="A5" s="142" t="s">
        <v>177</v>
      </c>
      <c r="B5" s="138">
        <v>0.1719</v>
      </c>
      <c r="C5" s="138">
        <f t="shared" si="0"/>
        <v>0</v>
      </c>
      <c r="D5" s="138">
        <v>0</v>
      </c>
      <c r="E5" s="139">
        <f t="shared" si="1"/>
        <v>0</v>
      </c>
      <c r="F5" s="139">
        <v>0</v>
      </c>
    </row>
    <row r="6" spans="1:6" ht="15" customHeight="1" x14ac:dyDescent="0.2">
      <c r="A6" s="141" t="s">
        <v>133</v>
      </c>
      <c r="B6" s="138">
        <v>0.16200000000000001</v>
      </c>
      <c r="C6" s="138">
        <f t="shared" si="0"/>
        <v>0</v>
      </c>
      <c r="D6" s="138">
        <v>0</v>
      </c>
      <c r="E6" s="139">
        <f t="shared" si="1"/>
        <v>0</v>
      </c>
      <c r="F6" s="139">
        <v>0</v>
      </c>
    </row>
    <row r="7" spans="1:6" ht="15" customHeight="1" x14ac:dyDescent="0.2">
      <c r="A7" s="141" t="s">
        <v>134</v>
      </c>
      <c r="B7" s="138">
        <v>0.21640000000000001</v>
      </c>
      <c r="C7" s="138">
        <f t="shared" si="0"/>
        <v>0</v>
      </c>
      <c r="D7" s="138">
        <v>0</v>
      </c>
      <c r="E7" s="139">
        <f t="shared" si="1"/>
        <v>0</v>
      </c>
      <c r="F7" s="139">
        <v>0</v>
      </c>
    </row>
    <row r="8" spans="1:6" ht="15" customHeight="1" x14ac:dyDescent="0.2">
      <c r="A8" s="141" t="s">
        <v>135</v>
      </c>
      <c r="B8" s="138">
        <v>0.17460000000000001</v>
      </c>
      <c r="C8" s="138">
        <f t="shared" si="0"/>
        <v>0</v>
      </c>
      <c r="D8" s="138">
        <v>0</v>
      </c>
      <c r="E8" s="139">
        <f t="shared" si="1"/>
        <v>0</v>
      </c>
      <c r="F8" s="139">
        <v>0</v>
      </c>
    </row>
    <row r="9" spans="1:6" ht="15" customHeight="1" x14ac:dyDescent="0.2">
      <c r="A9" s="142" t="s">
        <v>176</v>
      </c>
      <c r="B9" s="138">
        <v>0.15770000000000001</v>
      </c>
      <c r="C9" s="138">
        <f t="shared" ref="C9" si="2">IF((E9+F9)&gt;0.25,0.25,E9+F9)</f>
        <v>0</v>
      </c>
      <c r="D9" s="138">
        <v>0</v>
      </c>
      <c r="E9" s="139">
        <f t="shared" ref="E9" si="3">IF((ROUND(D9-(B9*0.65),4)/(1+B9))&lt;0,0,ROUND(D9-(B9*0.65),4)/(1+B9))</f>
        <v>0</v>
      </c>
      <c r="F9" s="139">
        <v>0</v>
      </c>
    </row>
    <row r="10" spans="1:6" ht="15" customHeight="1" x14ac:dyDescent="0.2">
      <c r="A10" s="142" t="s">
        <v>178</v>
      </c>
      <c r="B10" s="138">
        <v>0.28270000000000001</v>
      </c>
      <c r="C10" s="138">
        <f t="shared" si="0"/>
        <v>0</v>
      </c>
      <c r="D10" s="138">
        <v>0</v>
      </c>
      <c r="E10" s="139">
        <f t="shared" si="1"/>
        <v>0</v>
      </c>
      <c r="F10" s="139">
        <v>0</v>
      </c>
    </row>
    <row r="11" spans="1:6" ht="15" customHeight="1" x14ac:dyDescent="0.2">
      <c r="A11" s="141" t="s">
        <v>136</v>
      </c>
      <c r="B11" s="138">
        <v>0.19670000000000001</v>
      </c>
      <c r="C11" s="138">
        <f t="shared" si="0"/>
        <v>0</v>
      </c>
      <c r="D11" s="138">
        <v>0</v>
      </c>
      <c r="E11" s="139">
        <f t="shared" si="1"/>
        <v>0</v>
      </c>
      <c r="F11" s="139">
        <v>0</v>
      </c>
    </row>
    <row r="12" spans="1:6" ht="15" customHeight="1" x14ac:dyDescent="0.2">
      <c r="A12" s="142" t="s">
        <v>179</v>
      </c>
      <c r="B12" s="138">
        <v>0.1618</v>
      </c>
      <c r="C12" s="138">
        <f t="shared" ref="C12" si="4">IF((E12+F12)&gt;0.25,0.25,E12+F12)</f>
        <v>0</v>
      </c>
      <c r="D12" s="138">
        <v>0</v>
      </c>
      <c r="E12" s="139">
        <f t="shared" ref="E12" si="5">IF((ROUND(D12-(B12*0.65),4)/(1+B12))&lt;0,0,ROUND(D12-(B12*0.65),4)/(1+B12))</f>
        <v>0</v>
      </c>
      <c r="F12" s="139">
        <v>0</v>
      </c>
    </row>
    <row r="13" spans="1:6" ht="15" customHeight="1" x14ac:dyDescent="0.2">
      <c r="A13" s="141" t="s">
        <v>137</v>
      </c>
      <c r="B13" s="138">
        <v>0.16789999999999999</v>
      </c>
      <c r="C13" s="138">
        <f t="shared" si="0"/>
        <v>0</v>
      </c>
      <c r="D13" s="138">
        <v>0</v>
      </c>
      <c r="E13" s="139">
        <f t="shared" si="1"/>
        <v>0</v>
      </c>
      <c r="F13" s="139">
        <v>0</v>
      </c>
    </row>
    <row r="14" spans="1:6" ht="15" customHeight="1" x14ac:dyDescent="0.2">
      <c r="A14" s="141" t="s">
        <v>138</v>
      </c>
      <c r="B14" s="138">
        <v>0.28050000000000003</v>
      </c>
      <c r="C14" s="138">
        <f t="shared" si="0"/>
        <v>0</v>
      </c>
      <c r="D14" s="138">
        <v>0</v>
      </c>
      <c r="E14" s="139">
        <f t="shared" si="1"/>
        <v>0</v>
      </c>
      <c r="F14" s="139">
        <v>0</v>
      </c>
    </row>
    <row r="15" spans="1:6" ht="15" customHeight="1" x14ac:dyDescent="0.2">
      <c r="A15" s="141" t="s">
        <v>139</v>
      </c>
      <c r="B15" s="138">
        <v>0.2021</v>
      </c>
      <c r="C15" s="138">
        <f t="shared" si="0"/>
        <v>0</v>
      </c>
      <c r="D15" s="138">
        <v>0</v>
      </c>
      <c r="E15" s="139">
        <f t="shared" si="1"/>
        <v>0</v>
      </c>
      <c r="F15" s="139">
        <v>0</v>
      </c>
    </row>
    <row r="16" spans="1:6" ht="15" customHeight="1" x14ac:dyDescent="0.2">
      <c r="A16" s="141" t="s">
        <v>140</v>
      </c>
      <c r="B16" s="138">
        <v>0.20449999999999999</v>
      </c>
      <c r="C16" s="138">
        <f t="shared" si="0"/>
        <v>0</v>
      </c>
      <c r="D16" s="138">
        <v>0</v>
      </c>
      <c r="E16" s="139">
        <f t="shared" si="1"/>
        <v>0</v>
      </c>
      <c r="F16" s="139">
        <v>0</v>
      </c>
    </row>
    <row r="17" spans="1:6" ht="15" customHeight="1" x14ac:dyDescent="0.2">
      <c r="A17" s="141" t="s">
        <v>141</v>
      </c>
      <c r="B17" s="138">
        <v>0.1719</v>
      </c>
      <c r="C17" s="138">
        <f t="shared" si="0"/>
        <v>0</v>
      </c>
      <c r="D17" s="138">
        <v>0</v>
      </c>
      <c r="E17" s="139">
        <f t="shared" si="1"/>
        <v>0</v>
      </c>
      <c r="F17" s="139">
        <v>0</v>
      </c>
    </row>
    <row r="18" spans="1:6" ht="15" customHeight="1" x14ac:dyDescent="0.2">
      <c r="A18" s="141" t="s">
        <v>142</v>
      </c>
      <c r="B18" s="138">
        <v>0.19470000000000001</v>
      </c>
      <c r="C18" s="138">
        <f t="shared" si="0"/>
        <v>0</v>
      </c>
      <c r="D18" s="138">
        <v>0</v>
      </c>
      <c r="E18" s="139">
        <f t="shared" si="1"/>
        <v>0</v>
      </c>
      <c r="F18" s="139">
        <v>0</v>
      </c>
    </row>
    <row r="19" spans="1:6" ht="15" customHeight="1" x14ac:dyDescent="0.2">
      <c r="A19" s="141" t="s">
        <v>143</v>
      </c>
      <c r="B19" s="138">
        <v>0.24210000000000001</v>
      </c>
      <c r="C19" s="138">
        <f t="shared" ref="C19:C25" si="6">IF((E19+F19)&gt;0.25,0.25,E19+F19)</f>
        <v>0</v>
      </c>
      <c r="D19" s="138">
        <v>0</v>
      </c>
      <c r="E19" s="139">
        <f t="shared" ref="E19:E25" si="7">IF((ROUND(D19-(B19*0.65),4)/(1+B19))&lt;0,0,ROUND(D19-(B19*0.65),4)/(1+B19))</f>
        <v>0</v>
      </c>
      <c r="F19" s="139">
        <v>0</v>
      </c>
    </row>
    <row r="20" spans="1:6" ht="15" customHeight="1" x14ac:dyDescent="0.2">
      <c r="A20" s="141" t="s">
        <v>144</v>
      </c>
      <c r="B20" s="138">
        <v>0.16489999999999999</v>
      </c>
      <c r="C20" s="138">
        <f t="shared" si="6"/>
        <v>0</v>
      </c>
      <c r="D20" s="138">
        <v>0</v>
      </c>
      <c r="E20" s="139">
        <f t="shared" si="7"/>
        <v>0</v>
      </c>
      <c r="F20" s="139">
        <v>0</v>
      </c>
    </row>
    <row r="21" spans="1:6" ht="15" customHeight="1" x14ac:dyDescent="0.2">
      <c r="A21" s="141" t="s">
        <v>145</v>
      </c>
      <c r="B21" s="138">
        <v>0.18609999999999999</v>
      </c>
      <c r="C21" s="138">
        <f t="shared" si="6"/>
        <v>0</v>
      </c>
      <c r="D21" s="138">
        <v>0</v>
      </c>
      <c r="E21" s="139">
        <f t="shared" si="7"/>
        <v>0</v>
      </c>
      <c r="F21" s="139">
        <v>0</v>
      </c>
    </row>
    <row r="22" spans="1:6" ht="15" customHeight="1" x14ac:dyDescent="0.2">
      <c r="A22" s="141" t="s">
        <v>146</v>
      </c>
      <c r="B22" s="138">
        <v>0.26300000000000001</v>
      </c>
      <c r="C22" s="138">
        <f t="shared" si="6"/>
        <v>0</v>
      </c>
      <c r="D22" s="138">
        <v>0</v>
      </c>
      <c r="E22" s="139">
        <f t="shared" si="7"/>
        <v>0</v>
      </c>
      <c r="F22" s="139">
        <v>0</v>
      </c>
    </row>
    <row r="23" spans="1:6" ht="15" customHeight="1" x14ac:dyDescent="0.2">
      <c r="A23" s="141" t="s">
        <v>147</v>
      </c>
      <c r="B23" s="138">
        <v>0.2681</v>
      </c>
      <c r="C23" s="138">
        <f t="shared" si="6"/>
        <v>0</v>
      </c>
      <c r="D23" s="138">
        <v>0</v>
      </c>
      <c r="E23" s="139">
        <f t="shared" si="7"/>
        <v>0</v>
      </c>
      <c r="F23" s="139">
        <v>0</v>
      </c>
    </row>
    <row r="24" spans="1:6" ht="15" customHeight="1" x14ac:dyDescent="0.2">
      <c r="A24" s="141" t="s">
        <v>148</v>
      </c>
      <c r="B24" s="138">
        <v>0.16650000000000001</v>
      </c>
      <c r="C24" s="138">
        <f t="shared" si="6"/>
        <v>0</v>
      </c>
      <c r="D24" s="138">
        <v>0</v>
      </c>
      <c r="E24" s="139">
        <f t="shared" si="7"/>
        <v>0</v>
      </c>
      <c r="F24" s="139">
        <v>0</v>
      </c>
    </row>
    <row r="25" spans="1:6" ht="15" customHeight="1" x14ac:dyDescent="0.2">
      <c r="A25" s="141" t="s">
        <v>149</v>
      </c>
      <c r="B25" s="138">
        <v>0.28870000000000001</v>
      </c>
      <c r="C25" s="138">
        <f t="shared" si="6"/>
        <v>0</v>
      </c>
      <c r="D25" s="138">
        <v>0</v>
      </c>
      <c r="E25" s="139">
        <f t="shared" si="7"/>
        <v>0</v>
      </c>
      <c r="F25" s="139">
        <v>0</v>
      </c>
    </row>
    <row r="26" spans="1:6" ht="15" customHeight="1" x14ac:dyDescent="0.2">
      <c r="A26" s="141" t="s">
        <v>113</v>
      </c>
      <c r="B26" s="138">
        <v>0.1898</v>
      </c>
      <c r="C26" s="138">
        <f t="shared" si="0"/>
        <v>0.10640443772062531</v>
      </c>
      <c r="D26" s="138">
        <v>0.25</v>
      </c>
      <c r="E26" s="138">
        <f>IF((ROUND(D26-(B26*0.65),4)/(1+B26))&lt;0,0,ROUND(D26-(B26*0.65),4)/(1+B26))</f>
        <v>0.10640443772062531</v>
      </c>
      <c r="F26" s="138">
        <v>0</v>
      </c>
    </row>
    <row r="27" spans="1:6" ht="15" customHeight="1" x14ac:dyDescent="0.2">
      <c r="A27" s="141" t="s">
        <v>112</v>
      </c>
      <c r="B27" s="138">
        <v>0.1898</v>
      </c>
      <c r="C27" s="138">
        <f>IF((E27+F27)&gt;0.25,0.25,E27+F27)</f>
        <v>4.7571020339552864E-2</v>
      </c>
      <c r="D27" s="138">
        <v>0.18</v>
      </c>
      <c r="E27" s="138">
        <f>IF((ROUND(D27-(B27*0.65),4)/(1+B27))&lt;0,0,ROUND(D27-(B27*0.65),4)/(1+B27))</f>
        <v>4.7571020339552864E-2</v>
      </c>
      <c r="F27" s="138">
        <v>0</v>
      </c>
    </row>
    <row r="28" spans="1:6" ht="15" customHeight="1" x14ac:dyDescent="0.2">
      <c r="A28" s="141" t="s">
        <v>150</v>
      </c>
      <c r="B28" s="138">
        <v>0.32540000000000002</v>
      </c>
      <c r="C28" s="138">
        <f t="shared" si="0"/>
        <v>0</v>
      </c>
      <c r="D28" s="138">
        <v>0</v>
      </c>
      <c r="E28" s="139">
        <f t="shared" si="1"/>
        <v>0</v>
      </c>
      <c r="F28" s="139">
        <v>0</v>
      </c>
    </row>
    <row r="29" spans="1:6" ht="15" customHeight="1" x14ac:dyDescent="0.2">
      <c r="A29" s="141" t="s">
        <v>151</v>
      </c>
      <c r="B29" s="138">
        <v>0.1918</v>
      </c>
      <c r="C29" s="138">
        <f t="shared" si="0"/>
        <v>0</v>
      </c>
      <c r="D29" s="138">
        <v>0</v>
      </c>
      <c r="E29" s="139">
        <f t="shared" si="1"/>
        <v>0</v>
      </c>
      <c r="F29" s="139">
        <v>0</v>
      </c>
    </row>
    <row r="30" spans="1:6" ht="15" customHeight="1" x14ac:dyDescent="0.2">
      <c r="A30" s="141" t="s">
        <v>152</v>
      </c>
      <c r="B30" s="138">
        <v>0.16569999999999999</v>
      </c>
      <c r="C30" s="138">
        <f t="shared" si="0"/>
        <v>0</v>
      </c>
      <c r="D30" s="138">
        <v>0</v>
      </c>
      <c r="E30" s="139">
        <f t="shared" si="1"/>
        <v>0</v>
      </c>
      <c r="F30" s="139">
        <v>0</v>
      </c>
    </row>
    <row r="31" spans="1:6" ht="15" customHeight="1" x14ac:dyDescent="0.2">
      <c r="A31" s="141" t="s">
        <v>153</v>
      </c>
      <c r="B31" s="138">
        <v>0.16600000000000001</v>
      </c>
      <c r="C31" s="138">
        <f t="shared" si="0"/>
        <v>0</v>
      </c>
      <c r="D31" s="138">
        <v>0</v>
      </c>
      <c r="E31" s="139">
        <f t="shared" si="1"/>
        <v>0</v>
      </c>
      <c r="F31" s="139">
        <v>0</v>
      </c>
    </row>
    <row r="32" spans="1:6" ht="15" customHeight="1" x14ac:dyDescent="0.2">
      <c r="A32" s="141" t="s">
        <v>154</v>
      </c>
      <c r="B32" s="138">
        <v>0.1822</v>
      </c>
      <c r="C32" s="138">
        <f t="shared" si="0"/>
        <v>0</v>
      </c>
      <c r="D32" s="138">
        <v>0</v>
      </c>
      <c r="E32" s="139">
        <f t="shared" si="1"/>
        <v>0</v>
      </c>
      <c r="F32" s="139">
        <v>0</v>
      </c>
    </row>
    <row r="33" spans="1:6" ht="15" customHeight="1" x14ac:dyDescent="0.2">
      <c r="A33" s="141" t="s">
        <v>155</v>
      </c>
      <c r="B33" s="138">
        <v>0.1704</v>
      </c>
      <c r="C33" s="138">
        <f t="shared" si="0"/>
        <v>0</v>
      </c>
      <c r="D33" s="138">
        <v>0</v>
      </c>
      <c r="E33" s="139">
        <f t="shared" si="1"/>
        <v>0</v>
      </c>
      <c r="F33" s="139">
        <v>0</v>
      </c>
    </row>
    <row r="34" spans="1:6" ht="15" customHeight="1" x14ac:dyDescent="0.2">
      <c r="A34" s="141" t="s">
        <v>156</v>
      </c>
      <c r="B34" s="138">
        <v>0.31469999999999998</v>
      </c>
      <c r="C34" s="138">
        <f t="shared" si="0"/>
        <v>0</v>
      </c>
      <c r="D34" s="138">
        <v>0</v>
      </c>
      <c r="E34" s="139">
        <f t="shared" si="1"/>
        <v>0</v>
      </c>
      <c r="F34" s="139">
        <v>0</v>
      </c>
    </row>
    <row r="35" spans="1:6" ht="15" customHeight="1" x14ac:dyDescent="0.2">
      <c r="A35" s="141" t="s">
        <v>157</v>
      </c>
      <c r="B35" s="138">
        <v>0.23119999999999999</v>
      </c>
      <c r="C35" s="138">
        <f t="shared" si="0"/>
        <v>0</v>
      </c>
      <c r="D35" s="138">
        <v>0</v>
      </c>
      <c r="E35" s="139">
        <f t="shared" si="1"/>
        <v>0</v>
      </c>
      <c r="F35" s="139">
        <v>0</v>
      </c>
    </row>
    <row r="36" spans="1:6" ht="15" customHeight="1" x14ac:dyDescent="0.2">
      <c r="A36" s="141" t="s">
        <v>158</v>
      </c>
      <c r="B36" s="138">
        <v>0.20580000000000001</v>
      </c>
      <c r="C36" s="138">
        <f t="shared" si="0"/>
        <v>0</v>
      </c>
      <c r="D36" s="138">
        <v>0</v>
      </c>
      <c r="E36" s="139">
        <f t="shared" si="1"/>
        <v>0</v>
      </c>
      <c r="F36" s="139">
        <v>0</v>
      </c>
    </row>
    <row r="37" spans="1:6" ht="15" customHeight="1" x14ac:dyDescent="0.2">
      <c r="A37" s="141" t="s">
        <v>159</v>
      </c>
      <c r="B37" s="138">
        <v>0.24</v>
      </c>
      <c r="C37" s="138">
        <f t="shared" si="0"/>
        <v>0</v>
      </c>
      <c r="D37" s="138">
        <v>0</v>
      </c>
      <c r="E37" s="139">
        <f t="shared" si="1"/>
        <v>0</v>
      </c>
      <c r="F37" s="139">
        <v>0</v>
      </c>
    </row>
    <row r="38" spans="1:6" ht="15" customHeight="1" x14ac:dyDescent="0.2">
      <c r="A38" s="141" t="s">
        <v>160</v>
      </c>
      <c r="B38" s="138">
        <v>0.3306</v>
      </c>
      <c r="C38" s="138">
        <f t="shared" si="0"/>
        <v>0</v>
      </c>
      <c r="D38" s="138">
        <v>0</v>
      </c>
      <c r="E38" s="139">
        <f t="shared" si="1"/>
        <v>0</v>
      </c>
      <c r="F38" s="139">
        <v>0</v>
      </c>
    </row>
    <row r="39" spans="1:6" ht="15" customHeight="1" x14ac:dyDescent="0.2">
      <c r="A39" s="142" t="s">
        <v>180</v>
      </c>
      <c r="B39" s="138">
        <v>0.15870000000000001</v>
      </c>
      <c r="C39" s="138">
        <f t="shared" ref="C39" si="8">IF((E39+F39)&gt;0.25,0.25,E39+F39)</f>
        <v>0</v>
      </c>
      <c r="D39" s="138">
        <v>0</v>
      </c>
      <c r="E39" s="139">
        <f t="shared" ref="E39" si="9">IF((ROUND(D39-(B39*0.65),4)/(1+B39))&lt;0,0,ROUND(D39-(B39*0.65),4)/(1+B39))</f>
        <v>0</v>
      </c>
      <c r="F39" s="139">
        <v>0</v>
      </c>
    </row>
    <row r="40" spans="1:6" ht="15" customHeight="1" x14ac:dyDescent="0.2">
      <c r="A40" s="141" t="s">
        <v>161</v>
      </c>
      <c r="B40" s="138">
        <v>0.1633</v>
      </c>
      <c r="C40" s="138">
        <f t="shared" si="0"/>
        <v>0</v>
      </c>
      <c r="D40" s="138">
        <v>0</v>
      </c>
      <c r="E40" s="139">
        <f t="shared" si="1"/>
        <v>0</v>
      </c>
      <c r="F40" s="139">
        <v>0</v>
      </c>
    </row>
    <row r="41" spans="1:6" ht="15" customHeight="1" x14ac:dyDescent="0.2">
      <c r="A41" s="141" t="s">
        <v>162</v>
      </c>
      <c r="B41" s="138">
        <v>0.253</v>
      </c>
      <c r="C41" s="138">
        <f t="shared" si="0"/>
        <v>0</v>
      </c>
      <c r="D41" s="138">
        <v>0</v>
      </c>
      <c r="E41" s="139">
        <f t="shared" si="1"/>
        <v>0</v>
      </c>
      <c r="F41" s="139">
        <v>0</v>
      </c>
    </row>
    <row r="42" spans="1:6" ht="15" customHeight="1" x14ac:dyDescent="0.2">
      <c r="A42" s="141" t="s">
        <v>163</v>
      </c>
      <c r="B42" s="138">
        <v>0.19600000000000001</v>
      </c>
      <c r="C42" s="138">
        <f t="shared" si="0"/>
        <v>0</v>
      </c>
      <c r="D42" s="138">
        <v>0</v>
      </c>
      <c r="E42" s="139">
        <f t="shared" si="1"/>
        <v>0</v>
      </c>
      <c r="F42" s="139">
        <v>0</v>
      </c>
    </row>
    <row r="43" spans="1:6" ht="15" customHeight="1" x14ac:dyDescent="0.2">
      <c r="A43" s="141" t="s">
        <v>164</v>
      </c>
      <c r="B43" s="138">
        <v>0.18859999999999999</v>
      </c>
      <c r="C43" s="138">
        <f t="shared" si="0"/>
        <v>0</v>
      </c>
      <c r="D43" s="138">
        <v>0</v>
      </c>
      <c r="E43" s="139">
        <f t="shared" si="1"/>
        <v>0</v>
      </c>
      <c r="F43" s="139">
        <v>0</v>
      </c>
    </row>
    <row r="44" spans="1:6" ht="15" customHeight="1" x14ac:dyDescent="0.2">
      <c r="A44" s="141" t="s">
        <v>165</v>
      </c>
      <c r="B44" s="138">
        <v>0.23130000000000001</v>
      </c>
      <c r="C44" s="138">
        <f t="shared" si="0"/>
        <v>0</v>
      </c>
      <c r="D44" s="138">
        <v>0</v>
      </c>
      <c r="E44" s="139">
        <f t="shared" si="1"/>
        <v>0</v>
      </c>
      <c r="F44" s="139">
        <v>0</v>
      </c>
    </row>
    <row r="45" spans="1:6" ht="15" customHeight="1" x14ac:dyDescent="0.2">
      <c r="A45" s="141" t="s">
        <v>166</v>
      </c>
      <c r="B45" s="138">
        <v>0.19989999999999999</v>
      </c>
      <c r="C45" s="138">
        <f t="shared" si="0"/>
        <v>0</v>
      </c>
      <c r="D45" s="138">
        <v>0</v>
      </c>
      <c r="E45" s="139">
        <f t="shared" si="1"/>
        <v>0</v>
      </c>
      <c r="F45" s="139">
        <v>0</v>
      </c>
    </row>
    <row r="46" spans="1:6" ht="15" customHeight="1" x14ac:dyDescent="0.2">
      <c r="A46" s="141" t="s">
        <v>167</v>
      </c>
      <c r="B46" s="138">
        <v>0.1938</v>
      </c>
      <c r="C46" s="138">
        <f t="shared" si="0"/>
        <v>0</v>
      </c>
      <c r="D46" s="138">
        <v>0</v>
      </c>
      <c r="E46" s="139">
        <f t="shared" si="1"/>
        <v>0</v>
      </c>
      <c r="F46" s="139">
        <v>0</v>
      </c>
    </row>
    <row r="47" spans="1:6" ht="15" customHeight="1" x14ac:dyDescent="0.2">
      <c r="A47" s="143" t="s">
        <v>168</v>
      </c>
      <c r="B47" s="138">
        <v>0.25590000000000002</v>
      </c>
      <c r="C47" s="138">
        <f t="shared" si="0"/>
        <v>0</v>
      </c>
      <c r="D47" s="138">
        <v>0</v>
      </c>
      <c r="E47" s="139">
        <f t="shared" si="1"/>
        <v>0</v>
      </c>
      <c r="F47" s="139">
        <v>0</v>
      </c>
    </row>
    <row r="48" spans="1:6" ht="15" customHeight="1" x14ac:dyDescent="0.2">
      <c r="A48" s="142" t="s">
        <v>181</v>
      </c>
      <c r="B48" s="138">
        <v>0.16070000000000001</v>
      </c>
      <c r="C48" s="138">
        <f t="shared" ref="C48" si="10">IF((E48+F48)&gt;0.25,0.25,E48+F48)</f>
        <v>0</v>
      </c>
      <c r="D48" s="138">
        <v>0</v>
      </c>
      <c r="E48" s="139">
        <f t="shared" ref="E48" si="11">IF((ROUND(D48-(B48*0.65),4)/(1+B48))&lt;0,0,ROUND(D48-(B48*0.65),4)/(1+B48))</f>
        <v>0</v>
      </c>
      <c r="F48" s="139">
        <v>0</v>
      </c>
    </row>
    <row r="49" spans="1:6" ht="15" customHeight="1" x14ac:dyDescent="0.2">
      <c r="A49" s="143" t="s">
        <v>169</v>
      </c>
      <c r="B49" s="138">
        <v>0.28799999999999998</v>
      </c>
      <c r="C49" s="138">
        <f t="shared" ref="C49:C55" si="12">IF((E49+F49)&gt;0.25,0.25,E49+F49)</f>
        <v>0</v>
      </c>
      <c r="D49" s="138">
        <v>0</v>
      </c>
      <c r="E49" s="139">
        <f t="shared" ref="E49:E55" si="13">IF((ROUND(D49-(B49*0.65),4)/(1+B49))&lt;0,0,ROUND(D49-(B49*0.65),4)/(1+B49))</f>
        <v>0</v>
      </c>
      <c r="F49" s="139">
        <v>0</v>
      </c>
    </row>
    <row r="50" spans="1:6" ht="15" customHeight="1" x14ac:dyDescent="0.2">
      <c r="A50" s="143" t="s">
        <v>170</v>
      </c>
      <c r="B50" s="138">
        <v>0.40350000000000003</v>
      </c>
      <c r="C50" s="138">
        <f t="shared" si="12"/>
        <v>0</v>
      </c>
      <c r="D50" s="138">
        <v>0</v>
      </c>
      <c r="E50" s="139">
        <f t="shared" si="13"/>
        <v>0</v>
      </c>
      <c r="F50" s="139">
        <v>0</v>
      </c>
    </row>
    <row r="51" spans="1:6" ht="15" customHeight="1" x14ac:dyDescent="0.2">
      <c r="A51" s="143" t="s">
        <v>171</v>
      </c>
      <c r="B51" s="138">
        <v>0.26040000000000002</v>
      </c>
      <c r="C51" s="138">
        <f t="shared" si="12"/>
        <v>0</v>
      </c>
      <c r="D51" s="138">
        <v>0</v>
      </c>
      <c r="E51" s="139">
        <f t="shared" si="13"/>
        <v>0</v>
      </c>
      <c r="F51" s="139">
        <v>0</v>
      </c>
    </row>
    <row r="52" spans="1:6" ht="15" customHeight="1" x14ac:dyDescent="0.2">
      <c r="A52" s="143" t="s">
        <v>172</v>
      </c>
      <c r="B52" s="138">
        <v>0.17050000000000001</v>
      </c>
      <c r="C52" s="138">
        <f t="shared" si="12"/>
        <v>0</v>
      </c>
      <c r="D52" s="138">
        <v>0</v>
      </c>
      <c r="E52" s="139">
        <f t="shared" si="13"/>
        <v>0</v>
      </c>
      <c r="F52" s="139">
        <v>0</v>
      </c>
    </row>
    <row r="53" spans="1:6" ht="15" customHeight="1" x14ac:dyDescent="0.2">
      <c r="A53" s="143" t="s">
        <v>173</v>
      </c>
      <c r="B53" s="138">
        <v>0.1668</v>
      </c>
      <c r="C53" s="138">
        <f t="shared" si="12"/>
        <v>0</v>
      </c>
      <c r="D53" s="138">
        <v>0</v>
      </c>
      <c r="E53" s="139">
        <f t="shared" si="13"/>
        <v>0</v>
      </c>
      <c r="F53" s="139">
        <v>0</v>
      </c>
    </row>
    <row r="54" spans="1:6" ht="15" customHeight="1" x14ac:dyDescent="0.2">
      <c r="A54" s="142" t="s">
        <v>182</v>
      </c>
      <c r="B54" s="138">
        <v>0.15909999999999999</v>
      </c>
      <c r="C54" s="138">
        <f t="shared" si="12"/>
        <v>0</v>
      </c>
      <c r="D54" s="138">
        <v>0</v>
      </c>
      <c r="E54" s="139">
        <f t="shared" si="13"/>
        <v>0</v>
      </c>
      <c r="F54" s="139">
        <v>0</v>
      </c>
    </row>
    <row r="55" spans="1:6" ht="15" customHeight="1" x14ac:dyDescent="0.2">
      <c r="A55" s="143" t="s">
        <v>174</v>
      </c>
      <c r="B55" s="138">
        <v>0.29320000000000002</v>
      </c>
      <c r="C55" s="138">
        <f t="shared" si="12"/>
        <v>0</v>
      </c>
      <c r="D55" s="138">
        <v>0</v>
      </c>
      <c r="E55" s="139">
        <f t="shared" si="13"/>
        <v>0</v>
      </c>
      <c r="F55" s="139">
        <v>0</v>
      </c>
    </row>
    <row r="56" spans="1:6" ht="15" customHeight="1" x14ac:dyDescent="0.2">
      <c r="A56" s="141" t="s">
        <v>65</v>
      </c>
      <c r="B56" s="138">
        <v>0.15670000000000001</v>
      </c>
      <c r="C56" s="138">
        <f t="shared" ref="C56:C61" si="14">IF((E56+F56)&gt;0.25,0.25,E56+F56)</f>
        <v>3.2938532030777214E-2</v>
      </c>
      <c r="D56" s="138">
        <v>0.14000000000000001</v>
      </c>
      <c r="E56" s="138">
        <f t="shared" si="1"/>
        <v>3.2938532030777214E-2</v>
      </c>
      <c r="F56" s="138">
        <v>0</v>
      </c>
    </row>
    <row r="57" spans="1:6" ht="15" customHeight="1" x14ac:dyDescent="0.2">
      <c r="A57" s="141" t="s">
        <v>63</v>
      </c>
      <c r="B57" s="138">
        <v>0.15670000000000001</v>
      </c>
      <c r="C57" s="138">
        <f t="shared" si="14"/>
        <v>0.12803665600414973</v>
      </c>
      <c r="D57" s="138">
        <v>0.25</v>
      </c>
      <c r="E57" s="138">
        <f t="shared" si="1"/>
        <v>0.12803665600414973</v>
      </c>
      <c r="F57" s="138">
        <v>0</v>
      </c>
    </row>
    <row r="58" spans="1:6" ht="15" customHeight="1" x14ac:dyDescent="0.2">
      <c r="A58" s="141" t="s">
        <v>80</v>
      </c>
      <c r="B58" s="138">
        <v>0.15670000000000001</v>
      </c>
      <c r="C58" s="138">
        <f t="shared" si="14"/>
        <v>0.25</v>
      </c>
      <c r="D58" s="138">
        <v>0</v>
      </c>
      <c r="E58" s="138">
        <f t="shared" si="1"/>
        <v>0</v>
      </c>
      <c r="F58" s="138">
        <v>0.25</v>
      </c>
    </row>
    <row r="59" spans="1:6" ht="15" customHeight="1" x14ac:dyDescent="0.2">
      <c r="A59" s="141" t="s">
        <v>81</v>
      </c>
      <c r="B59" s="138">
        <v>0.15670000000000001</v>
      </c>
      <c r="C59" s="138">
        <f t="shared" si="14"/>
        <v>0.25</v>
      </c>
      <c r="D59" s="138">
        <v>0</v>
      </c>
      <c r="E59" s="138">
        <f t="shared" si="1"/>
        <v>0</v>
      </c>
      <c r="F59" s="138">
        <v>0.25</v>
      </c>
    </row>
    <row r="60" spans="1:6" ht="15" customHeight="1" x14ac:dyDescent="0.2">
      <c r="A60" s="141" t="s">
        <v>82</v>
      </c>
      <c r="B60" s="138">
        <v>0.15670000000000001</v>
      </c>
      <c r="C60" s="138">
        <f t="shared" si="14"/>
        <v>0.25</v>
      </c>
      <c r="D60" s="138">
        <v>0</v>
      </c>
      <c r="E60" s="138">
        <f t="shared" si="1"/>
        <v>0</v>
      </c>
      <c r="F60" s="138">
        <v>0.25</v>
      </c>
    </row>
    <row r="61" spans="1:6" ht="15" customHeight="1" x14ac:dyDescent="0.2">
      <c r="A61" s="141" t="s">
        <v>64</v>
      </c>
      <c r="B61" s="138">
        <v>0.15670000000000001</v>
      </c>
      <c r="C61" s="138">
        <f t="shared" si="14"/>
        <v>0.25</v>
      </c>
      <c r="D61" s="138">
        <v>0.25</v>
      </c>
      <c r="E61" s="138">
        <f t="shared" si="1"/>
        <v>0.12803665600414973</v>
      </c>
      <c r="F61" s="138">
        <v>0.2</v>
      </c>
    </row>
    <row r="62" spans="1:6" ht="15" customHeight="1" x14ac:dyDescent="0.2">
      <c r="A62" s="141" t="s">
        <v>83</v>
      </c>
      <c r="B62" s="138">
        <v>0.15670000000000001</v>
      </c>
      <c r="C62" s="138">
        <f>IF((E62+F62)&gt;0.25,0.25,E62+F62)</f>
        <v>0.25</v>
      </c>
      <c r="D62" s="138">
        <v>0</v>
      </c>
      <c r="E62" s="138">
        <f>IF((ROUND(D62-(B62*0.65),4)/(1+B62))&lt;0,0,ROUND(D62-(B62*0.65),4)/(1+B62))</f>
        <v>0</v>
      </c>
      <c r="F62" s="138">
        <v>0.25</v>
      </c>
    </row>
    <row r="63" spans="1:6" ht="15" customHeight="1" x14ac:dyDescent="0.2">
      <c r="A63" s="141" t="s">
        <v>68</v>
      </c>
      <c r="B63" s="138">
        <v>0</v>
      </c>
      <c r="C63" s="138">
        <f>IF((E63+F63)&gt;0.25,0.25,E63+F63)</f>
        <v>0</v>
      </c>
      <c r="D63" s="138">
        <v>0</v>
      </c>
      <c r="E63" s="139">
        <f>IF((ROUND(D63-(B63*0.65),4)/(1+B63))&lt;0,0,ROUND(D63-(B63*0.65),4)/(1+B63))</f>
        <v>0</v>
      </c>
      <c r="F63" s="139">
        <v>0</v>
      </c>
    </row>
    <row r="65" spans="1:1" x14ac:dyDescent="0.2">
      <c r="A65" s="144"/>
    </row>
  </sheetData>
  <sheetProtection algorithmName="SHA-512" hashValue="kUT77of5e0Ni8bekzCQDty+BgyZhH5UbHNawnsp0PkwVE+9qN62jrnYdt4erXGlW0Zf7uo7GmjsWMjnl9ZhZNw==" saltValue="F/Z4lRlu+/g5TTESf4r1ow==" spinCount="100000" sheet="1" objects="1" scenarios="1"/>
  <phoneticPr fontId="18" type="noConversion"/>
  <pageMargins left="0.75" right="0.75" top="1" bottom="1" header="0.5" footer="0.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4"/>
  <sheetViews>
    <sheetView showGridLines="0" workbookViewId="0">
      <selection activeCell="D3" sqref="D3:F3"/>
    </sheetView>
  </sheetViews>
  <sheetFormatPr defaultRowHeight="12.75" x14ac:dyDescent="0.2"/>
  <cols>
    <col min="1" max="1" width="9.140625" style="1"/>
    <col min="2" max="2" width="8.7109375" style="1" customWidth="1"/>
    <col min="3" max="3" width="15.7109375" style="1" customWidth="1"/>
    <col min="4" max="5" width="12.28515625" style="1" customWidth="1"/>
    <col min="6" max="6" width="8.7109375" style="1" customWidth="1"/>
    <col min="7" max="7" width="15.7109375" style="1" customWidth="1"/>
    <col min="8" max="11" width="12.28515625" style="1" customWidth="1"/>
    <col min="12" max="16384" width="9.140625" style="1"/>
  </cols>
  <sheetData>
    <row r="1" spans="1:9" customFormat="1" ht="25.5" customHeight="1" x14ac:dyDescent="0.4">
      <c r="A1" s="125" t="s">
        <v>119</v>
      </c>
      <c r="B1" s="125"/>
      <c r="C1" s="125"/>
      <c r="D1" s="125"/>
      <c r="E1" s="125"/>
      <c r="F1" s="125"/>
      <c r="G1" s="125"/>
      <c r="H1" s="125"/>
      <c r="I1" s="125"/>
    </row>
    <row r="2" spans="1:9" customFormat="1" ht="12.75" customHeight="1" x14ac:dyDescent="0.4">
      <c r="A2" s="92"/>
      <c r="B2" s="92"/>
      <c r="C2" s="92"/>
      <c r="D2" s="92"/>
      <c r="E2" s="92"/>
      <c r="F2" s="92"/>
      <c r="G2" s="92"/>
      <c r="H2" s="92"/>
      <c r="I2" s="92"/>
    </row>
    <row r="3" spans="1:9" x14ac:dyDescent="0.2">
      <c r="A3" s="76"/>
      <c r="B3" s="76"/>
      <c r="C3" s="76"/>
      <c r="D3" s="115" t="s">
        <v>93</v>
      </c>
      <c r="E3" s="115"/>
      <c r="F3" s="115"/>
      <c r="G3" s="76"/>
      <c r="H3" s="76"/>
    </row>
    <row r="4" spans="1:9" x14ac:dyDescent="0.2">
      <c r="A4" s="76"/>
      <c r="B4" s="76"/>
      <c r="C4" s="76"/>
      <c r="D4" s="91"/>
      <c r="E4" s="91"/>
      <c r="F4" s="91"/>
      <c r="G4" s="76"/>
      <c r="H4" s="76"/>
    </row>
    <row r="5" spans="1:9" ht="19.5" x14ac:dyDescent="0.3">
      <c r="A5" s="129" t="str">
        <f>"Locality/COLA Area: "&amp;'Start Page'!C46</f>
        <v>Locality/COLA Area: Rest of the United States</v>
      </c>
      <c r="B5" s="129"/>
      <c r="C5" s="129"/>
      <c r="D5" s="129"/>
      <c r="E5" s="129"/>
      <c r="F5" s="129"/>
      <c r="G5" s="129"/>
      <c r="H5" s="129"/>
      <c r="I5" s="129"/>
    </row>
    <row r="6" spans="1:9" ht="12.75" customHeight="1" x14ac:dyDescent="0.3">
      <c r="D6"/>
      <c r="E6" s="69"/>
      <c r="F6" s="9"/>
      <c r="G6" s="35"/>
      <c r="H6" s="35"/>
    </row>
    <row r="7" spans="1:9" x14ac:dyDescent="0.2">
      <c r="A7" s="126" t="s">
        <v>120</v>
      </c>
      <c r="B7" s="127"/>
      <c r="C7" s="127"/>
      <c r="D7" s="127"/>
      <c r="E7" s="127"/>
      <c r="F7" s="127"/>
      <c r="G7" s="127"/>
      <c r="H7" s="127"/>
      <c r="I7" s="127"/>
    </row>
    <row r="8" spans="1:9" x14ac:dyDescent="0.2">
      <c r="A8" s="41"/>
      <c r="B8" s="93"/>
      <c r="C8" s="93"/>
      <c r="D8" s="93"/>
      <c r="E8" s="93"/>
      <c r="F8" s="93"/>
      <c r="G8" s="93"/>
      <c r="H8" s="93"/>
      <c r="I8" s="93"/>
    </row>
    <row r="9" spans="1:9" ht="51" customHeight="1" x14ac:dyDescent="0.2">
      <c r="A9" s="130" t="s">
        <v>121</v>
      </c>
      <c r="B9" s="130"/>
      <c r="C9" s="130"/>
      <c r="D9" s="130"/>
      <c r="E9" s="130"/>
      <c r="F9" s="130"/>
      <c r="G9" s="130"/>
      <c r="H9" s="130"/>
      <c r="I9" s="130"/>
    </row>
    <row r="10" spans="1:9" x14ac:dyDescent="0.2">
      <c r="E10" s="33"/>
      <c r="G10" s="35"/>
      <c r="H10" s="35"/>
    </row>
    <row r="11" spans="1:9" ht="25.5" customHeight="1" x14ac:dyDescent="0.2">
      <c r="A11" s="106" t="s">
        <v>122</v>
      </c>
      <c r="B11" s="106"/>
      <c r="C11" s="106"/>
      <c r="D11" s="106"/>
      <c r="E11" s="106"/>
      <c r="F11" s="106"/>
      <c r="G11" s="106"/>
      <c r="H11" s="106"/>
      <c r="I11" s="106"/>
    </row>
    <row r="12" spans="1:9" x14ac:dyDescent="0.2">
      <c r="A12" s="90"/>
      <c r="B12" s="90"/>
      <c r="C12" s="90"/>
      <c r="D12" s="90"/>
      <c r="E12" s="90"/>
      <c r="F12" s="90"/>
      <c r="G12" s="90"/>
      <c r="H12" s="90"/>
      <c r="I12" s="90"/>
    </row>
    <row r="13" spans="1:9" ht="25.5" customHeight="1" x14ac:dyDescent="0.2">
      <c r="A13" s="106" t="s">
        <v>127</v>
      </c>
      <c r="B13" s="106"/>
      <c r="C13" s="106"/>
      <c r="D13" s="106"/>
      <c r="E13" s="106"/>
      <c r="F13" s="106"/>
      <c r="G13" s="106"/>
      <c r="H13" s="106"/>
      <c r="I13" s="106"/>
    </row>
    <row r="14" spans="1:9" x14ac:dyDescent="0.2">
      <c r="A14" s="10"/>
    </row>
    <row r="15" spans="1:9" x14ac:dyDescent="0.2">
      <c r="A15" s="1" t="s">
        <v>98</v>
      </c>
      <c r="C15" s="94">
        <v>50000</v>
      </c>
      <c r="F15" s="43" t="str">
        <f>IF(C15&gt;0,"","Error!  I would like to think you are making something for your trouble.")</f>
        <v/>
      </c>
    </row>
    <row r="16" spans="1:9" x14ac:dyDescent="0.2">
      <c r="A16" s="10"/>
    </row>
    <row r="17" spans="1:11" ht="18.75" x14ac:dyDescent="0.3">
      <c r="B17" s="128" t="s">
        <v>95</v>
      </c>
      <c r="C17" s="128"/>
      <c r="D17" s="128"/>
      <c r="E17" s="33"/>
      <c r="F17" s="128" t="s">
        <v>100</v>
      </c>
      <c r="G17" s="128"/>
      <c r="H17" s="128"/>
    </row>
    <row r="18" spans="1:11" x14ac:dyDescent="0.2">
      <c r="E18" s="91"/>
      <c r="F18" s="91"/>
      <c r="G18" s="91"/>
    </row>
    <row r="19" spans="1:11" x14ac:dyDescent="0.2">
      <c r="A19"/>
      <c r="B19" s="11" t="s">
        <v>43</v>
      </c>
      <c r="C19" s="11" t="s">
        <v>1</v>
      </c>
      <c r="D19" s="25" t="s">
        <v>99</v>
      </c>
      <c r="E19"/>
      <c r="F19" s="11" t="s">
        <v>43</v>
      </c>
      <c r="G19" s="11" t="s">
        <v>1</v>
      </c>
      <c r="H19" s="25" t="s">
        <v>99</v>
      </c>
      <c r="I19"/>
      <c r="J19"/>
      <c r="K19"/>
    </row>
    <row r="20" spans="1:11" ht="12.75" customHeight="1" x14ac:dyDescent="0.2">
      <c r="A20"/>
      <c r="B20" s="12"/>
      <c r="C20" s="95" t="s">
        <v>123</v>
      </c>
      <c r="D20" s="96">
        <f>ROUND($C$15+($C$15*'Start Page'!$C$48),0)</f>
        <v>57835</v>
      </c>
      <c r="E20"/>
      <c r="F20" s="12"/>
      <c r="G20" s="95" t="s">
        <v>123</v>
      </c>
      <c r="H20" s="96">
        <f>ROUND($C$15+($C$15*'Start Page'!$C$48),0)</f>
        <v>57835</v>
      </c>
      <c r="I20"/>
      <c r="J20"/>
      <c r="K20"/>
    </row>
    <row r="21" spans="1:11" x14ac:dyDescent="0.2">
      <c r="A21"/>
      <c r="B21" s="12">
        <v>106</v>
      </c>
      <c r="C21" s="17" t="s">
        <v>41</v>
      </c>
      <c r="D21" s="16">
        <f>D22*106</f>
        <v>2224.94</v>
      </c>
      <c r="E21"/>
      <c r="F21" s="12">
        <v>80</v>
      </c>
      <c r="G21" s="28" t="s">
        <v>124</v>
      </c>
      <c r="H21" s="87">
        <f>H22*80</f>
        <v>2216.8000000000002</v>
      </c>
      <c r="I21"/>
      <c r="J21"/>
      <c r="K21"/>
    </row>
    <row r="22" spans="1:11" x14ac:dyDescent="0.2">
      <c r="A22"/>
      <c r="B22" s="12"/>
      <c r="C22" s="17" t="s">
        <v>13</v>
      </c>
      <c r="D22" s="16">
        <f>ROUND(D20/2756,2)</f>
        <v>20.99</v>
      </c>
      <c r="E22"/>
      <c r="F22" s="12"/>
      <c r="G22" s="28" t="s">
        <v>125</v>
      </c>
      <c r="H22" s="29">
        <f>ROUND(H20/2087,2)</f>
        <v>27.71</v>
      </c>
      <c r="I22"/>
      <c r="J22"/>
      <c r="K22"/>
    </row>
    <row r="23" spans="1:11" x14ac:dyDescent="0.2">
      <c r="A23"/>
      <c r="B23" s="18">
        <f>('Start Page'!$C$31-53)*2</f>
        <v>38</v>
      </c>
      <c r="C23" s="17" t="s">
        <v>42</v>
      </c>
      <c r="D23" s="16">
        <f>D24*B23</f>
        <v>1196.6199999999999</v>
      </c>
      <c r="E23"/>
      <c r="F23" s="12">
        <v>26</v>
      </c>
      <c r="G23" s="15" t="s">
        <v>41</v>
      </c>
      <c r="H23" s="16">
        <f>H24*26</f>
        <v>545.74</v>
      </c>
      <c r="I23"/>
      <c r="J23"/>
      <c r="K23"/>
    </row>
    <row r="24" spans="1:11" x14ac:dyDescent="0.2">
      <c r="A24"/>
      <c r="B24" s="12"/>
      <c r="C24" s="17" t="s">
        <v>14</v>
      </c>
      <c r="D24" s="16">
        <f>IF(ROUND(D22*1.5,2)&lt;'Shift Firefighters'!$G$122,ROUND(D22*1.5,2),IF('Shift Firefighters'!$G$122&lt;D22,D22,'Shift Firefighters'!$G$122))</f>
        <v>31.49</v>
      </c>
      <c r="E24"/>
      <c r="F24" s="12"/>
      <c r="G24" s="15" t="s">
        <v>13</v>
      </c>
      <c r="H24" s="16">
        <f>ROUND(H20/2756,2)</f>
        <v>20.99</v>
      </c>
      <c r="I24"/>
      <c r="J24"/>
      <c r="K24"/>
    </row>
    <row r="25" spans="1:11" x14ac:dyDescent="0.2">
      <c r="A25"/>
      <c r="B25" s="51"/>
      <c r="C25" s="32" t="s">
        <v>46</v>
      </c>
      <c r="D25" s="16">
        <f>ROUND(D22*'Start Page'!$F$48,2)*B26</f>
        <v>0</v>
      </c>
      <c r="E25"/>
      <c r="F25" s="18">
        <f>('Start Page'!$C$33-53)*2</f>
        <v>14</v>
      </c>
      <c r="G25" s="15" t="s">
        <v>42</v>
      </c>
      <c r="H25" s="16">
        <f>H26*F25</f>
        <v>440.85999999999996</v>
      </c>
      <c r="I25"/>
      <c r="J25"/>
      <c r="K25"/>
    </row>
    <row r="26" spans="1:11" x14ac:dyDescent="0.2">
      <c r="A26"/>
      <c r="B26" s="12">
        <f>B21+B23</f>
        <v>144</v>
      </c>
      <c r="C26" s="97" t="s">
        <v>17</v>
      </c>
      <c r="D26" s="20">
        <f>D21+D23+D25</f>
        <v>3421.56</v>
      </c>
      <c r="E26"/>
      <c r="F26" s="12"/>
      <c r="G26" s="15" t="s">
        <v>14</v>
      </c>
      <c r="H26" s="16">
        <f>IF(ROUND(H24*1.5,2)&lt;'Shift Firefighters'!$G$122,ROUND(H24*1.5,2),IF('Shift Firefighters'!$G$122&lt;H24,H24,'Shift Firefighters'!$G$122))</f>
        <v>31.49</v>
      </c>
      <c r="I26"/>
      <c r="J26"/>
      <c r="K26"/>
    </row>
    <row r="27" spans="1:11" x14ac:dyDescent="0.2">
      <c r="A27"/>
      <c r="B27" s="12"/>
      <c r="C27" s="97" t="s">
        <v>33</v>
      </c>
      <c r="D27" s="20">
        <f>D26*'Start Page'!$C$65</f>
        <v>88960.56</v>
      </c>
      <c r="E27"/>
      <c r="F27" s="51"/>
      <c r="G27" s="28" t="s">
        <v>46</v>
      </c>
      <c r="H27" s="16">
        <f>(ROUND(H22*'Start Page'!$F$48,2)*80)+(ROUND(H24*'Start Page'!$F$48,2)*(F28-80))</f>
        <v>0</v>
      </c>
      <c r="I27"/>
      <c r="J27"/>
      <c r="K27"/>
    </row>
    <row r="28" spans="1:11" x14ac:dyDescent="0.2">
      <c r="A28"/>
      <c r="B28" s="21"/>
      <c r="C28" s="22" t="s">
        <v>71</v>
      </c>
      <c r="D28" s="88">
        <f>D22*B26*'Start Page'!$C$65</f>
        <v>78586.559999999998</v>
      </c>
      <c r="E28"/>
      <c r="F28" s="12">
        <f>F21+F23+F25</f>
        <v>120</v>
      </c>
      <c r="G28" s="19" t="s">
        <v>17</v>
      </c>
      <c r="H28" s="20">
        <f>H21+H23+H25+H27</f>
        <v>3203.4</v>
      </c>
      <c r="I28"/>
      <c r="J28"/>
      <c r="K28"/>
    </row>
    <row r="29" spans="1:11" x14ac:dyDescent="0.2">
      <c r="A29"/>
      <c r="B29"/>
      <c r="C29"/>
      <c r="D29"/>
      <c r="E29"/>
      <c r="F29" s="12"/>
      <c r="G29" s="19" t="s">
        <v>33</v>
      </c>
      <c r="H29" s="20">
        <f>H28*'Start Page'!$C$65</f>
        <v>83288.400000000009</v>
      </c>
      <c r="I29"/>
      <c r="J29"/>
      <c r="K29"/>
    </row>
    <row r="30" spans="1:11" x14ac:dyDescent="0.2">
      <c r="A30"/>
      <c r="B30"/>
      <c r="C30"/>
      <c r="D30"/>
      <c r="E30"/>
      <c r="F30" s="21"/>
      <c r="G30" s="22" t="s">
        <v>71</v>
      </c>
      <c r="H30" s="89">
        <f>((H22*80)+(H24*(F28-80)))*'Start Page'!$C$65</f>
        <v>79466.400000000009</v>
      </c>
      <c r="I30"/>
      <c r="J30"/>
      <c r="K30"/>
    </row>
    <row r="31" spans="1:11" x14ac:dyDescent="0.2">
      <c r="A31"/>
      <c r="B31"/>
      <c r="C31"/>
      <c r="D31"/>
      <c r="E31"/>
      <c r="F31"/>
      <c r="G31"/>
      <c r="H31"/>
      <c r="I31"/>
      <c r="J31"/>
      <c r="K31"/>
    </row>
    <row r="32" spans="1:11" x14ac:dyDescent="0.2">
      <c r="A32"/>
      <c r="B32"/>
      <c r="C32"/>
      <c r="D32"/>
      <c r="E32"/>
      <c r="F32"/>
      <c r="G32"/>
      <c r="H32"/>
      <c r="I32"/>
      <c r="J32"/>
      <c r="K32"/>
    </row>
    <row r="33" spans="6:8" x14ac:dyDescent="0.2">
      <c r="F33"/>
      <c r="G33"/>
      <c r="H33"/>
    </row>
    <row r="34" spans="6:8" x14ac:dyDescent="0.2">
      <c r="F34"/>
      <c r="G34"/>
      <c r="H34"/>
    </row>
  </sheetData>
  <sheetProtection password="CCE4" sheet="1" objects="1" scenarios="1"/>
  <mergeCells count="9">
    <mergeCell ref="A1:I1"/>
    <mergeCell ref="A7:I7"/>
    <mergeCell ref="B17:D17"/>
    <mergeCell ref="F17:H17"/>
    <mergeCell ref="A5:I5"/>
    <mergeCell ref="D3:F3"/>
    <mergeCell ref="A9:I9"/>
    <mergeCell ref="A11:I11"/>
    <mergeCell ref="A13:I13"/>
  </mergeCells>
  <phoneticPr fontId="0" type="noConversion"/>
  <dataValidations count="1">
    <dataValidation type="decimal" allowBlank="1" showInputMessage="1" showErrorMessage="1" errorTitle="Invalid Information" error="Please check your number!" sqref="C15" xr:uid="{00000000-0002-0000-0400-000000000000}">
      <formula1>0</formula1>
      <formula2>200000</formula2>
    </dataValidation>
  </dataValidations>
  <hyperlinks>
    <hyperlink ref="D3" location="'Start Page'!C4" display="Return to Start Page" xr:uid="{00000000-0004-0000-0400-000000000000}"/>
    <hyperlink ref="D3:F3" location="'Start Page'!C19" display="Return to Start Page" xr:uid="{00000000-0004-0000-0400-000001000000}"/>
  </hyperlinks>
  <pageMargins left="0.75" right="0.75" top="1" bottom="1" header="0.5" footer="0.5"/>
  <pageSetup scale="93" orientation="landscape" horizontalDpi="300" verticalDpi="300" r:id="rId1"/>
  <headerFooter alignWithMargins="0"/>
  <legacy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4"/>
  <sheetViews>
    <sheetView showGridLines="0" workbookViewId="0">
      <selection activeCell="F6" sqref="F6:G6"/>
    </sheetView>
  </sheetViews>
  <sheetFormatPr defaultRowHeight="12.75" x14ac:dyDescent="0.2"/>
  <cols>
    <col min="1" max="1" width="9.140625" style="1"/>
    <col min="2" max="11" width="12.28515625" style="1" customWidth="1"/>
    <col min="12" max="16384" width="9.140625" style="1"/>
  </cols>
  <sheetData>
    <row r="1" spans="1:11" customFormat="1" ht="25.5" customHeight="1" x14ac:dyDescent="0.4">
      <c r="D1" s="7">
        <f>'Start Page'!$C$63</f>
        <v>2019</v>
      </c>
      <c r="E1" s="8" t="s">
        <v>37</v>
      </c>
    </row>
    <row r="2" spans="1:11" customFormat="1" ht="25.5" customHeight="1" x14ac:dyDescent="0.25">
      <c r="A2" s="135" t="str">
        <f>"Locality/COLA Area: "&amp;'Start Page'!C46</f>
        <v>Locality/COLA Area: Rest of the United States</v>
      </c>
      <c r="B2" s="135"/>
      <c r="C2" s="135"/>
      <c r="D2" s="135"/>
      <c r="E2" s="135"/>
      <c r="F2" s="135"/>
      <c r="G2" s="135"/>
      <c r="H2" s="135"/>
      <c r="I2" s="135"/>
      <c r="J2" s="135"/>
      <c r="K2" s="135"/>
    </row>
    <row r="3" spans="1:11" x14ac:dyDescent="0.2">
      <c r="E3" s="33"/>
      <c r="F3" s="34" t="s">
        <v>67</v>
      </c>
      <c r="G3" s="45">
        <f>'Start Page'!C48</f>
        <v>0.15670000000000001</v>
      </c>
      <c r="H3" s="35"/>
    </row>
    <row r="4" spans="1:11" x14ac:dyDescent="0.2">
      <c r="E4" s="33"/>
      <c r="F4" s="34" t="s">
        <v>94</v>
      </c>
      <c r="G4" s="45">
        <f>'Start Page'!F48</f>
        <v>0</v>
      </c>
      <c r="H4" s="35"/>
    </row>
    <row r="5" spans="1:11" x14ac:dyDescent="0.2">
      <c r="E5" s="131" t="str">
        <f>IF(D1='GS Pay Calculator'!B2,"","Warning! These pay figures are now estimates only!")</f>
        <v/>
      </c>
      <c r="F5" s="131"/>
      <c r="G5" s="131"/>
      <c r="H5" s="131"/>
    </row>
    <row r="6" spans="1:11" x14ac:dyDescent="0.2">
      <c r="E6" s="33"/>
      <c r="F6" s="132" t="s">
        <v>93</v>
      </c>
      <c r="G6" s="132"/>
      <c r="H6" s="35"/>
    </row>
    <row r="7" spans="1:11" ht="12.75" customHeight="1" x14ac:dyDescent="0.2">
      <c r="A7" s="36" t="s">
        <v>27</v>
      </c>
      <c r="B7" s="133" t="s">
        <v>28</v>
      </c>
      <c r="C7" s="134"/>
      <c r="D7" s="134"/>
      <c r="E7" s="134"/>
      <c r="F7" s="134"/>
      <c r="G7" s="134"/>
      <c r="H7" s="134"/>
      <c r="I7" s="134"/>
      <c r="J7" s="134"/>
      <c r="K7" s="134"/>
    </row>
    <row r="8" spans="1:11" x14ac:dyDescent="0.2">
      <c r="A8" s="37" t="s">
        <v>29</v>
      </c>
      <c r="B8" s="38">
        <v>1</v>
      </c>
      <c r="C8" s="38">
        <v>2</v>
      </c>
      <c r="D8" s="38">
        <v>3</v>
      </c>
      <c r="E8" s="38">
        <v>4</v>
      </c>
      <c r="F8" s="38">
        <v>5</v>
      </c>
      <c r="G8" s="38">
        <v>6</v>
      </c>
      <c r="H8" s="38">
        <v>7</v>
      </c>
      <c r="I8" s="38">
        <v>8</v>
      </c>
      <c r="J8" s="38">
        <v>9</v>
      </c>
      <c r="K8" s="38">
        <v>10</v>
      </c>
    </row>
    <row r="9" spans="1:11" x14ac:dyDescent="0.2">
      <c r="A9" s="39">
        <v>3</v>
      </c>
      <c r="B9" s="50">
        <f>ROUND('GS Pay - No Locality'!B4+('GS Pay - No Locality'!B4*$G$3),0)</f>
        <v>27030</v>
      </c>
      <c r="C9" s="50">
        <f>ROUND('GS Pay - No Locality'!C4+('GS Pay - No Locality'!C4*$G$3),0)</f>
        <v>27931</v>
      </c>
      <c r="D9" s="50">
        <f>ROUND('GS Pay - No Locality'!D4+('GS Pay - No Locality'!D4*$G$3),0)</f>
        <v>28832</v>
      </c>
      <c r="E9" s="50">
        <f>ROUND('GS Pay - No Locality'!E4+('GS Pay - No Locality'!E4*$G$3),0)</f>
        <v>29733</v>
      </c>
      <c r="F9" s="50">
        <f>ROUND('GS Pay - No Locality'!F4+('GS Pay - No Locality'!F4*$G$3),0)</f>
        <v>30634</v>
      </c>
      <c r="G9" s="50">
        <f>ROUND('GS Pay - No Locality'!G4+('GS Pay - No Locality'!G4*$G$3),0)</f>
        <v>31535</v>
      </c>
      <c r="H9" s="50">
        <f>ROUND('GS Pay - No Locality'!H4+('GS Pay - No Locality'!H4*$G$3),0)</f>
        <v>32436</v>
      </c>
      <c r="I9" s="50">
        <f>ROUND('GS Pay - No Locality'!I4+('GS Pay - No Locality'!I4*$G$3),0)</f>
        <v>33337</v>
      </c>
      <c r="J9" s="50">
        <f>ROUND('GS Pay - No Locality'!J4+('GS Pay - No Locality'!J4*$G$3),0)</f>
        <v>34238</v>
      </c>
      <c r="K9" s="50">
        <f>ROUND('GS Pay - No Locality'!K4+('GS Pay - No Locality'!K4*$G$3),0)</f>
        <v>35139</v>
      </c>
    </row>
    <row r="10" spans="1:11" x14ac:dyDescent="0.2">
      <c r="A10" s="39">
        <v>4</v>
      </c>
      <c r="B10" s="50">
        <f>ROUND('GS Pay - No Locality'!B5+('GS Pay - No Locality'!B5*$G$3),0)</f>
        <v>30344</v>
      </c>
      <c r="C10" s="50">
        <f>ROUND('GS Pay - No Locality'!C5+('GS Pay - No Locality'!C5*$G$3),0)</f>
        <v>31355</v>
      </c>
      <c r="D10" s="50">
        <f>ROUND('GS Pay - No Locality'!D5+('GS Pay - No Locality'!D5*$G$3),0)</f>
        <v>32366</v>
      </c>
      <c r="E10" s="50">
        <f>ROUND('GS Pay - No Locality'!E5+('GS Pay - No Locality'!E5*$G$3),0)</f>
        <v>33377</v>
      </c>
      <c r="F10" s="50">
        <f>ROUND('GS Pay - No Locality'!F5+('GS Pay - No Locality'!F5*$G$3),0)</f>
        <v>34388</v>
      </c>
      <c r="G10" s="50">
        <f>ROUND('GS Pay - No Locality'!G5+('GS Pay - No Locality'!G5*$G$3),0)</f>
        <v>35398</v>
      </c>
      <c r="H10" s="50">
        <f>ROUND('GS Pay - No Locality'!H5+('GS Pay - No Locality'!H5*$G$3),0)</f>
        <v>36409</v>
      </c>
      <c r="I10" s="50">
        <f>ROUND('GS Pay - No Locality'!I5+('GS Pay - No Locality'!I5*$G$3),0)</f>
        <v>37420</v>
      </c>
      <c r="J10" s="50">
        <f>ROUND('GS Pay - No Locality'!J5+('GS Pay - No Locality'!J5*$G$3),0)</f>
        <v>38431</v>
      </c>
      <c r="K10" s="50">
        <f>ROUND('GS Pay - No Locality'!K5+('GS Pay - No Locality'!K5*$G$3),0)</f>
        <v>39442</v>
      </c>
    </row>
    <row r="11" spans="1:11" x14ac:dyDescent="0.2">
      <c r="A11" s="39">
        <v>5</v>
      </c>
      <c r="B11" s="50">
        <f>ROUND('GS Pay - No Locality'!B6+('GS Pay - No Locality'!B6*$G$3),0)</f>
        <v>33949</v>
      </c>
      <c r="C11" s="50">
        <f>ROUND('GS Pay - No Locality'!C6+('GS Pay - No Locality'!C6*$G$3),0)</f>
        <v>35080</v>
      </c>
      <c r="D11" s="50">
        <f>ROUND('GS Pay - No Locality'!D6+('GS Pay - No Locality'!D6*$G$3),0)</f>
        <v>36212</v>
      </c>
      <c r="E11" s="50">
        <f>ROUND('GS Pay - No Locality'!E6+('GS Pay - No Locality'!E6*$G$3),0)</f>
        <v>37343</v>
      </c>
      <c r="F11" s="50">
        <f>ROUND('GS Pay - No Locality'!F6+('GS Pay - No Locality'!F6*$G$3),0)</f>
        <v>38474</v>
      </c>
      <c r="G11" s="50">
        <f>ROUND('GS Pay - No Locality'!G6+('GS Pay - No Locality'!G6*$G$3),0)</f>
        <v>39605</v>
      </c>
      <c r="H11" s="50">
        <f>ROUND('GS Pay - No Locality'!H6+('GS Pay - No Locality'!H6*$G$3),0)</f>
        <v>40737</v>
      </c>
      <c r="I11" s="50">
        <f>ROUND('GS Pay - No Locality'!I6+('GS Pay - No Locality'!I6*$G$3),0)</f>
        <v>41868</v>
      </c>
      <c r="J11" s="50">
        <f>ROUND('GS Pay - No Locality'!J6+('GS Pay - No Locality'!J6*$G$3),0)</f>
        <v>42999</v>
      </c>
      <c r="K11" s="50">
        <f>ROUND('GS Pay - No Locality'!K6+('GS Pay - No Locality'!K6*$G$3),0)</f>
        <v>44130</v>
      </c>
    </row>
    <row r="12" spans="1:11" x14ac:dyDescent="0.2">
      <c r="A12" s="39">
        <v>6</v>
      </c>
      <c r="B12" s="50">
        <f>ROUND('GS Pay - No Locality'!B7+('GS Pay - No Locality'!B7*$G$3),0)</f>
        <v>37843</v>
      </c>
      <c r="C12" s="50">
        <f>ROUND('GS Pay - No Locality'!C7+('GS Pay - No Locality'!C7*$G$3),0)</f>
        <v>39105</v>
      </c>
      <c r="D12" s="50">
        <f>ROUND('GS Pay - No Locality'!D7+('GS Pay - No Locality'!D7*$G$3),0)</f>
        <v>40367</v>
      </c>
      <c r="E12" s="50">
        <f>ROUND('GS Pay - No Locality'!E7+('GS Pay - No Locality'!E7*$G$3),0)</f>
        <v>41628</v>
      </c>
      <c r="F12" s="50">
        <f>ROUND('GS Pay - No Locality'!F7+('GS Pay - No Locality'!F7*$G$3),0)</f>
        <v>42890</v>
      </c>
      <c r="G12" s="50">
        <f>ROUND('GS Pay - No Locality'!G7+('GS Pay - No Locality'!G7*$G$3),0)</f>
        <v>44152</v>
      </c>
      <c r="H12" s="50">
        <f>ROUND('GS Pay - No Locality'!H7+('GS Pay - No Locality'!H7*$G$3),0)</f>
        <v>45414</v>
      </c>
      <c r="I12" s="50">
        <f>ROUND('GS Pay - No Locality'!I7+('GS Pay - No Locality'!I7*$G$3),0)</f>
        <v>46676</v>
      </c>
      <c r="J12" s="50">
        <f>ROUND('GS Pay - No Locality'!J7+('GS Pay - No Locality'!J7*$G$3),0)</f>
        <v>47938</v>
      </c>
      <c r="K12" s="50">
        <f>ROUND('GS Pay - No Locality'!K7+('GS Pay - No Locality'!K7*$G$3),0)</f>
        <v>49200</v>
      </c>
    </row>
    <row r="13" spans="1:11" x14ac:dyDescent="0.2">
      <c r="A13" s="39">
        <v>7</v>
      </c>
      <c r="B13" s="50">
        <f>ROUND('GS Pay - No Locality'!B8+('GS Pay - No Locality'!B8*$G$3),0)</f>
        <v>42053</v>
      </c>
      <c r="C13" s="50">
        <f>ROUND('GS Pay - No Locality'!C8+('GS Pay - No Locality'!C8*$G$3),0)</f>
        <v>43455</v>
      </c>
      <c r="D13" s="50">
        <f>ROUND('GS Pay - No Locality'!D8+('GS Pay - No Locality'!D8*$G$3),0)</f>
        <v>44857</v>
      </c>
      <c r="E13" s="50">
        <f>ROUND('GS Pay - No Locality'!E8+('GS Pay - No Locality'!E8*$G$3),0)</f>
        <v>46259</v>
      </c>
      <c r="F13" s="50">
        <f>ROUND('GS Pay - No Locality'!F8+('GS Pay - No Locality'!F8*$G$3),0)</f>
        <v>47661</v>
      </c>
      <c r="G13" s="50">
        <f>ROUND('GS Pay - No Locality'!G8+('GS Pay - No Locality'!G8*$G$3),0)</f>
        <v>49063</v>
      </c>
      <c r="H13" s="50">
        <f>ROUND('GS Pay - No Locality'!H8+('GS Pay - No Locality'!H8*$G$3),0)</f>
        <v>50465</v>
      </c>
      <c r="I13" s="50">
        <f>ROUND('GS Pay - No Locality'!I8+('GS Pay - No Locality'!I8*$G$3),0)</f>
        <v>51866</v>
      </c>
      <c r="J13" s="50">
        <f>ROUND('GS Pay - No Locality'!J8+('GS Pay - No Locality'!J8*$G$3),0)</f>
        <v>53268</v>
      </c>
      <c r="K13" s="50">
        <f>ROUND('GS Pay - No Locality'!K8+('GS Pay - No Locality'!K8*$G$3),0)</f>
        <v>54670</v>
      </c>
    </row>
    <row r="14" spans="1:11" x14ac:dyDescent="0.2">
      <c r="A14" s="39">
        <v>8</v>
      </c>
      <c r="B14" s="50">
        <f>ROUND('GS Pay - No Locality'!B9+('GS Pay - No Locality'!B9*$G$3),0)</f>
        <v>46572</v>
      </c>
      <c r="C14" s="50">
        <f>ROUND('GS Pay - No Locality'!C9+('GS Pay - No Locality'!C9*$G$3),0)</f>
        <v>48125</v>
      </c>
      <c r="D14" s="50">
        <f>ROUND('GS Pay - No Locality'!D9+('GS Pay - No Locality'!D9*$G$3),0)</f>
        <v>49677</v>
      </c>
      <c r="E14" s="50">
        <f>ROUND('GS Pay - No Locality'!E9+('GS Pay - No Locality'!E9*$G$3),0)</f>
        <v>51229</v>
      </c>
      <c r="F14" s="50">
        <f>ROUND('GS Pay - No Locality'!F9+('GS Pay - No Locality'!F9*$G$3),0)</f>
        <v>52781</v>
      </c>
      <c r="G14" s="50">
        <f>ROUND('GS Pay - No Locality'!G9+('GS Pay - No Locality'!G9*$G$3),0)</f>
        <v>54334</v>
      </c>
      <c r="H14" s="50">
        <f>ROUND('GS Pay - No Locality'!H9+('GS Pay - No Locality'!H9*$G$3),0)</f>
        <v>55886</v>
      </c>
      <c r="I14" s="50">
        <f>ROUND('GS Pay - No Locality'!I9+('GS Pay - No Locality'!I9*$G$3),0)</f>
        <v>57438</v>
      </c>
      <c r="J14" s="50">
        <f>ROUND('GS Pay - No Locality'!J9+('GS Pay - No Locality'!J9*$G$3),0)</f>
        <v>58991</v>
      </c>
      <c r="K14" s="50">
        <f>ROUND('GS Pay - No Locality'!K9+('GS Pay - No Locality'!K9*$G$3),0)</f>
        <v>60543</v>
      </c>
    </row>
    <row r="15" spans="1:11" x14ac:dyDescent="0.2">
      <c r="A15" s="39">
        <v>9</v>
      </c>
      <c r="B15" s="50">
        <f>ROUND('GS Pay - No Locality'!B10+('GS Pay - No Locality'!B10*$G$3),0)</f>
        <v>51440</v>
      </c>
      <c r="C15" s="50">
        <f>ROUND('GS Pay - No Locality'!C10+('GS Pay - No Locality'!C10*$G$3),0)</f>
        <v>53154</v>
      </c>
      <c r="D15" s="50">
        <f>ROUND('GS Pay - No Locality'!D10+('GS Pay - No Locality'!D10*$G$3),0)</f>
        <v>54868</v>
      </c>
      <c r="E15" s="50">
        <f>ROUND('GS Pay - No Locality'!E10+('GS Pay - No Locality'!E10*$G$3),0)</f>
        <v>56582</v>
      </c>
      <c r="F15" s="50">
        <f>ROUND('GS Pay - No Locality'!F10+('GS Pay - No Locality'!F10*$G$3),0)</f>
        <v>58297</v>
      </c>
      <c r="G15" s="50">
        <f>ROUND('GS Pay - No Locality'!G10+('GS Pay - No Locality'!G10*$G$3),0)</f>
        <v>60011</v>
      </c>
      <c r="H15" s="50">
        <f>ROUND('GS Pay - No Locality'!H10+('GS Pay - No Locality'!H10*$G$3),0)</f>
        <v>61725</v>
      </c>
      <c r="I15" s="50">
        <f>ROUND('GS Pay - No Locality'!I10+('GS Pay - No Locality'!I10*$G$3),0)</f>
        <v>63439</v>
      </c>
      <c r="J15" s="50">
        <f>ROUND('GS Pay - No Locality'!J10+('GS Pay - No Locality'!J10*$G$3),0)</f>
        <v>65153</v>
      </c>
      <c r="K15" s="50">
        <f>ROUND('GS Pay - No Locality'!K10+('GS Pay - No Locality'!K10*$G$3),0)</f>
        <v>66868</v>
      </c>
    </row>
    <row r="16" spans="1:11" x14ac:dyDescent="0.2">
      <c r="A16" s="39">
        <v>10</v>
      </c>
      <c r="B16" s="50">
        <f>ROUND('GS Pay - No Locality'!B11+('GS Pay - No Locality'!B11*$G$3),0)</f>
        <v>56647</v>
      </c>
      <c r="C16" s="50">
        <f>ROUND('GS Pay - No Locality'!C11+('GS Pay - No Locality'!C11*$G$3),0)</f>
        <v>58535</v>
      </c>
      <c r="D16" s="50">
        <f>ROUND('GS Pay - No Locality'!D11+('GS Pay - No Locality'!D11*$G$3),0)</f>
        <v>60423</v>
      </c>
      <c r="E16" s="50">
        <f>ROUND('GS Pay - No Locality'!E11+('GS Pay - No Locality'!E11*$G$3),0)</f>
        <v>62310</v>
      </c>
      <c r="F16" s="50">
        <f>ROUND('GS Pay - No Locality'!F11+('GS Pay - No Locality'!F11*$G$3),0)</f>
        <v>64198</v>
      </c>
      <c r="G16" s="50">
        <f>ROUND('GS Pay - No Locality'!G11+('GS Pay - No Locality'!G11*$G$3),0)</f>
        <v>66086</v>
      </c>
      <c r="H16" s="50">
        <f>ROUND('GS Pay - No Locality'!H11+('GS Pay - No Locality'!H11*$G$3),0)</f>
        <v>67973</v>
      </c>
      <c r="I16" s="50">
        <f>ROUND('GS Pay - No Locality'!I11+('GS Pay - No Locality'!I11*$G$3),0)</f>
        <v>69861</v>
      </c>
      <c r="J16" s="50">
        <f>ROUND('GS Pay - No Locality'!J11+('GS Pay - No Locality'!J11*$G$3),0)</f>
        <v>71749</v>
      </c>
      <c r="K16" s="50">
        <f>ROUND('GS Pay - No Locality'!K11+('GS Pay - No Locality'!K11*$G$3),0)</f>
        <v>73637</v>
      </c>
    </row>
    <row r="17" spans="1:11" x14ac:dyDescent="0.2">
      <c r="A17" s="39">
        <v>11</v>
      </c>
      <c r="B17" s="50">
        <f>ROUND('GS Pay - No Locality'!B12+('GS Pay - No Locality'!B12*$G$3),0)</f>
        <v>62236</v>
      </c>
      <c r="C17" s="50">
        <f>ROUND('GS Pay - No Locality'!C12+('GS Pay - No Locality'!C12*$G$3),0)</f>
        <v>64311</v>
      </c>
      <c r="D17" s="50">
        <f>ROUND('GS Pay - No Locality'!D12+('GS Pay - No Locality'!D12*$G$3),0)</f>
        <v>66386</v>
      </c>
      <c r="E17" s="50">
        <f>ROUND('GS Pay - No Locality'!E12+('GS Pay - No Locality'!E12*$G$3),0)</f>
        <v>68462</v>
      </c>
      <c r="F17" s="50">
        <f>ROUND('GS Pay - No Locality'!F12+('GS Pay - No Locality'!F12*$G$3),0)</f>
        <v>70537</v>
      </c>
      <c r="G17" s="50">
        <f>ROUND('GS Pay - No Locality'!G12+('GS Pay - No Locality'!G12*$G$3),0)</f>
        <v>72612</v>
      </c>
      <c r="H17" s="50">
        <f>ROUND('GS Pay - No Locality'!H12+('GS Pay - No Locality'!H12*$G$3),0)</f>
        <v>74687</v>
      </c>
      <c r="I17" s="50">
        <f>ROUND('GS Pay - No Locality'!I12+('GS Pay - No Locality'!I12*$G$3),0)</f>
        <v>76762</v>
      </c>
      <c r="J17" s="50">
        <f>ROUND('GS Pay - No Locality'!J12+('GS Pay - No Locality'!J12*$G$3),0)</f>
        <v>78837</v>
      </c>
      <c r="K17" s="50">
        <f>ROUND('GS Pay - No Locality'!K12+('GS Pay - No Locality'!K12*$G$3),0)</f>
        <v>80912</v>
      </c>
    </row>
    <row r="18" spans="1:11" x14ac:dyDescent="0.2">
      <c r="A18" s="39">
        <v>12</v>
      </c>
      <c r="B18" s="50">
        <f>ROUND('GS Pay - No Locality'!B13+('GS Pay - No Locality'!B13*$G$3),0)</f>
        <v>74596</v>
      </c>
      <c r="C18" s="50">
        <f>ROUND('GS Pay - No Locality'!C13+('GS Pay - No Locality'!C13*$G$3),0)</f>
        <v>77082</v>
      </c>
      <c r="D18" s="50">
        <f>ROUND('GS Pay - No Locality'!D13+('GS Pay - No Locality'!D13*$G$3),0)</f>
        <v>79569</v>
      </c>
      <c r="E18" s="50">
        <f>ROUND('GS Pay - No Locality'!E13+('GS Pay - No Locality'!E13*$G$3),0)</f>
        <v>82056</v>
      </c>
      <c r="F18" s="50">
        <f>ROUND('GS Pay - No Locality'!F13+('GS Pay - No Locality'!F13*$G$3),0)</f>
        <v>84543</v>
      </c>
      <c r="G18" s="50">
        <f>ROUND('GS Pay - No Locality'!G13+('GS Pay - No Locality'!G13*$G$3),0)</f>
        <v>87030</v>
      </c>
      <c r="H18" s="50">
        <f>ROUND('GS Pay - No Locality'!H13+('GS Pay - No Locality'!H13*$G$3),0)</f>
        <v>89517</v>
      </c>
      <c r="I18" s="50">
        <f>ROUND('GS Pay - No Locality'!I13+('GS Pay - No Locality'!I13*$G$3),0)</f>
        <v>92004</v>
      </c>
      <c r="J18" s="50">
        <f>ROUND('GS Pay - No Locality'!J13+('GS Pay - No Locality'!J13*$G$3),0)</f>
        <v>94491</v>
      </c>
      <c r="K18" s="50">
        <f>ROUND('GS Pay - No Locality'!K13+('GS Pay - No Locality'!K13*$G$3),0)</f>
        <v>96978</v>
      </c>
    </row>
    <row r="19" spans="1:11" x14ac:dyDescent="0.2">
      <c r="A19" s="39">
        <v>13</v>
      </c>
      <c r="B19" s="50">
        <f>ROUND('GS Pay - No Locality'!B14+('GS Pay - No Locality'!B14*$G$3),0)</f>
        <v>88704</v>
      </c>
      <c r="C19" s="50">
        <f>ROUND('GS Pay - No Locality'!C14+('GS Pay - No Locality'!C14*$G$3),0)</f>
        <v>91660</v>
      </c>
      <c r="D19" s="50">
        <f>ROUND('GS Pay - No Locality'!D14+('GS Pay - No Locality'!D14*$G$3),0)</f>
        <v>94617</v>
      </c>
      <c r="E19" s="50">
        <f>ROUND('GS Pay - No Locality'!E14+('GS Pay - No Locality'!E14*$G$3),0)</f>
        <v>97573</v>
      </c>
      <c r="F19" s="50">
        <f>ROUND('GS Pay - No Locality'!F14+('GS Pay - No Locality'!F14*$G$3),0)</f>
        <v>100530</v>
      </c>
      <c r="G19" s="50">
        <f>ROUND('GS Pay - No Locality'!G14+('GS Pay - No Locality'!G14*$G$3),0)</f>
        <v>103486</v>
      </c>
      <c r="H19" s="50">
        <f>ROUND('GS Pay - No Locality'!H14+('GS Pay - No Locality'!H14*$G$3),0)</f>
        <v>106443</v>
      </c>
      <c r="I19" s="50">
        <f>ROUND('GS Pay - No Locality'!I14+('GS Pay - No Locality'!I14*$G$3),0)</f>
        <v>109400</v>
      </c>
      <c r="J19" s="50">
        <f>ROUND('GS Pay - No Locality'!J14+('GS Pay - No Locality'!J14*$G$3),0)</f>
        <v>112356</v>
      </c>
      <c r="K19" s="50">
        <f>ROUND('GS Pay - No Locality'!K14+('GS Pay - No Locality'!K14*$G$3),0)</f>
        <v>115313</v>
      </c>
    </row>
    <row r="20" spans="1:11" x14ac:dyDescent="0.2">
      <c r="A20" s="39">
        <v>14</v>
      </c>
      <c r="B20" s="50">
        <f>ROUND('GS Pay - No Locality'!B15+('GS Pay - No Locality'!B15*$G$3),0)</f>
        <v>104821</v>
      </c>
      <c r="C20" s="50">
        <f>ROUND('GS Pay - No Locality'!C15+('GS Pay - No Locality'!C15*$G$3),0)</f>
        <v>108316</v>
      </c>
      <c r="D20" s="50">
        <f>ROUND('GS Pay - No Locality'!D15+('GS Pay - No Locality'!D15*$G$3),0)</f>
        <v>111810</v>
      </c>
      <c r="E20" s="50">
        <f>ROUND('GS Pay - No Locality'!E15+('GS Pay - No Locality'!E15*$G$3),0)</f>
        <v>115304</v>
      </c>
      <c r="F20" s="50">
        <f>ROUND('GS Pay - No Locality'!F15+('GS Pay - No Locality'!F15*$G$3),0)</f>
        <v>118799</v>
      </c>
      <c r="G20" s="50">
        <f>ROUND('GS Pay - No Locality'!G15+('GS Pay - No Locality'!G15*$G$3),0)</f>
        <v>122293</v>
      </c>
      <c r="H20" s="50">
        <f>ROUND('GS Pay - No Locality'!H15+('GS Pay - No Locality'!H15*$G$3),0)</f>
        <v>125788</v>
      </c>
      <c r="I20" s="50">
        <f>ROUND('GS Pay - No Locality'!I15+('GS Pay - No Locality'!I15*$G$3),0)</f>
        <v>129282</v>
      </c>
      <c r="J20" s="50">
        <f>ROUND('GS Pay - No Locality'!J15+('GS Pay - No Locality'!J15*$G$3),0)</f>
        <v>132776</v>
      </c>
      <c r="K20" s="50">
        <f>ROUND('GS Pay - No Locality'!K15+('GS Pay - No Locality'!K15*$G$3),0)</f>
        <v>136271</v>
      </c>
    </row>
    <row r="21" spans="1:11" x14ac:dyDescent="0.2">
      <c r="A21" s="10"/>
    </row>
    <row r="22" spans="1:11" ht="12.75" customHeight="1" x14ac:dyDescent="0.2">
      <c r="A22"/>
      <c r="B22"/>
      <c r="C22"/>
      <c r="D22"/>
      <c r="E22"/>
      <c r="F22"/>
      <c r="G22"/>
      <c r="H22"/>
      <c r="I22"/>
      <c r="J22"/>
      <c r="K22"/>
    </row>
    <row r="23" spans="1:11" x14ac:dyDescent="0.2">
      <c r="A23" s="74" t="s">
        <v>76</v>
      </c>
      <c r="B23"/>
      <c r="C23"/>
      <c r="D23"/>
      <c r="E23"/>
      <c r="F23"/>
      <c r="G23"/>
      <c r="H23"/>
      <c r="I23"/>
      <c r="J23"/>
      <c r="K23"/>
    </row>
    <row r="24" spans="1:11" x14ac:dyDescent="0.2">
      <c r="A24"/>
      <c r="B24"/>
      <c r="C24"/>
      <c r="D24"/>
      <c r="E24"/>
      <c r="F24"/>
      <c r="G24"/>
      <c r="H24"/>
      <c r="I24"/>
      <c r="J24"/>
      <c r="K24"/>
    </row>
    <row r="25" spans="1:11" x14ac:dyDescent="0.2">
      <c r="A25"/>
      <c r="B25"/>
      <c r="C25"/>
      <c r="D25"/>
      <c r="E25"/>
      <c r="F25"/>
      <c r="G25"/>
      <c r="H25"/>
      <c r="I25"/>
      <c r="J25"/>
      <c r="K25"/>
    </row>
    <row r="26" spans="1:11" x14ac:dyDescent="0.2">
      <c r="A26"/>
      <c r="B26"/>
      <c r="C26"/>
      <c r="D26"/>
      <c r="E26"/>
      <c r="F26"/>
      <c r="G26"/>
      <c r="H26"/>
      <c r="I26"/>
      <c r="J26"/>
      <c r="K26"/>
    </row>
    <row r="27" spans="1:11" x14ac:dyDescent="0.2">
      <c r="A27"/>
      <c r="B27"/>
      <c r="C27"/>
      <c r="D27"/>
      <c r="E27"/>
      <c r="F27"/>
      <c r="G27"/>
      <c r="H27"/>
      <c r="I27"/>
      <c r="J27"/>
      <c r="K27"/>
    </row>
    <row r="28" spans="1:11" x14ac:dyDescent="0.2">
      <c r="A28"/>
      <c r="B28"/>
      <c r="C28"/>
      <c r="D28"/>
      <c r="E28"/>
      <c r="F28"/>
      <c r="G28"/>
      <c r="H28"/>
      <c r="I28"/>
      <c r="J28"/>
      <c r="K28"/>
    </row>
    <row r="29" spans="1:11" x14ac:dyDescent="0.2">
      <c r="A29"/>
      <c r="B29"/>
      <c r="C29"/>
      <c r="D29"/>
      <c r="E29"/>
      <c r="F29"/>
      <c r="G29"/>
      <c r="H29"/>
      <c r="I29"/>
      <c r="J29"/>
      <c r="K29"/>
    </row>
    <row r="30" spans="1:11" x14ac:dyDescent="0.2">
      <c r="A30"/>
      <c r="B30"/>
      <c r="C30"/>
      <c r="D30"/>
      <c r="E30"/>
      <c r="F30"/>
      <c r="G30"/>
      <c r="H30"/>
      <c r="I30"/>
      <c r="J30"/>
      <c r="K30"/>
    </row>
    <row r="31" spans="1:11" x14ac:dyDescent="0.2">
      <c r="A31"/>
      <c r="B31"/>
      <c r="C31"/>
      <c r="D31"/>
      <c r="E31"/>
      <c r="F31"/>
      <c r="G31"/>
      <c r="H31"/>
      <c r="I31"/>
      <c r="J31"/>
      <c r="K31"/>
    </row>
    <row r="32" spans="1:11" x14ac:dyDescent="0.2">
      <c r="A32"/>
      <c r="B32"/>
      <c r="C32"/>
      <c r="D32"/>
      <c r="E32"/>
      <c r="F32"/>
      <c r="G32"/>
      <c r="H32"/>
      <c r="I32"/>
      <c r="J32"/>
      <c r="K32"/>
    </row>
    <row r="33" spans="1:11" x14ac:dyDescent="0.2">
      <c r="A33"/>
      <c r="B33"/>
      <c r="C33"/>
      <c r="D33"/>
      <c r="E33"/>
      <c r="F33"/>
      <c r="G33"/>
      <c r="H33"/>
      <c r="I33"/>
      <c r="J33"/>
      <c r="K33"/>
    </row>
    <row r="34" spans="1:11" x14ac:dyDescent="0.2">
      <c r="A34"/>
      <c r="B34"/>
      <c r="C34"/>
      <c r="D34"/>
      <c r="E34"/>
      <c r="F34"/>
      <c r="G34"/>
      <c r="H34"/>
      <c r="I34"/>
      <c r="J34"/>
      <c r="K34"/>
    </row>
  </sheetData>
  <sheetProtection password="CCE4" sheet="1" objects="1" scenarios="1"/>
  <mergeCells count="4">
    <mergeCell ref="E5:H5"/>
    <mergeCell ref="F6:G6"/>
    <mergeCell ref="B7:K7"/>
    <mergeCell ref="A2:K2"/>
  </mergeCells>
  <phoneticPr fontId="0" type="noConversion"/>
  <hyperlinks>
    <hyperlink ref="F6:G6" location="'Start Page'!C19" display="Return to Start Page" xr:uid="{00000000-0004-0000-0500-000000000000}"/>
  </hyperlinks>
  <printOptions horizontalCentered="1"/>
  <pageMargins left="0.75" right="0.75" top="1" bottom="1" header="0.5" footer="0.5"/>
  <pageSetup scale="90" orientation="landscape" horizontalDpi="300" verticalDpi="300" r:id="rId1"/>
  <headerFooter alignWithMargins="0"/>
  <picture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4"/>
  <sheetViews>
    <sheetView showGridLines="0" zoomScaleNormal="100" workbookViewId="0">
      <pane xSplit="3" ySplit="6" topLeftCell="D7" activePane="bottomRight" state="frozen"/>
      <selection pane="topRight" activeCell="D1" sqref="D1"/>
      <selection pane="bottomLeft" activeCell="A7" sqref="A7"/>
      <selection pane="bottomRight" activeCell="G5" sqref="G5:H5"/>
    </sheetView>
  </sheetViews>
  <sheetFormatPr defaultRowHeight="12.75" x14ac:dyDescent="0.2"/>
  <cols>
    <col min="1" max="2" width="7.140625" customWidth="1"/>
    <col min="3" max="3" width="13.85546875" customWidth="1"/>
    <col min="4" max="13" width="12.7109375" customWidth="1"/>
  </cols>
  <sheetData>
    <row r="1" spans="1:13" ht="25.5" customHeight="1" x14ac:dyDescent="0.4">
      <c r="E1" s="7">
        <f>'Start Page'!$C$63</f>
        <v>2019</v>
      </c>
      <c r="F1" s="8" t="s">
        <v>35</v>
      </c>
    </row>
    <row r="2" spans="1:13" ht="25.5" customHeight="1" x14ac:dyDescent="0.4">
      <c r="E2" s="7"/>
      <c r="G2" s="69" t="s">
        <v>69</v>
      </c>
      <c r="H2" s="9" t="str">
        <f>'Start Page'!C46</f>
        <v>Rest of the United States</v>
      </c>
    </row>
    <row r="3" spans="1:13" ht="25.5" customHeight="1" x14ac:dyDescent="0.4">
      <c r="G3" s="7">
        <f>'Start Page'!C31</f>
        <v>72</v>
      </c>
      <c r="H3" s="8" t="s">
        <v>40</v>
      </c>
    </row>
    <row r="4" spans="1:13" ht="12.75" customHeight="1" x14ac:dyDescent="0.2">
      <c r="F4" s="131" t="str">
        <f>IF(E1='GS Pay Calculator'!B2,"","Warning! These pay figures are now estimates only!")</f>
        <v/>
      </c>
      <c r="G4" s="131"/>
      <c r="H4" s="131"/>
      <c r="I4" s="131"/>
    </row>
    <row r="5" spans="1:13" ht="12.75" customHeight="1" x14ac:dyDescent="0.2">
      <c r="G5" s="132" t="s">
        <v>93</v>
      </c>
      <c r="H5" s="132"/>
      <c r="I5" s="73"/>
      <c r="J5" s="73"/>
    </row>
    <row r="6" spans="1:13" x14ac:dyDescent="0.2">
      <c r="A6" s="11" t="s">
        <v>0</v>
      </c>
      <c r="B6" s="11" t="s">
        <v>43</v>
      </c>
      <c r="C6" s="11" t="s">
        <v>1</v>
      </c>
      <c r="D6" s="11" t="s">
        <v>2</v>
      </c>
      <c r="E6" s="11" t="s">
        <v>3</v>
      </c>
      <c r="F6" s="11" t="s">
        <v>4</v>
      </c>
      <c r="G6" s="11" t="s">
        <v>5</v>
      </c>
      <c r="H6" s="11" t="s">
        <v>6</v>
      </c>
      <c r="I6" s="11" t="s">
        <v>7</v>
      </c>
      <c r="J6" s="11" t="s">
        <v>8</v>
      </c>
      <c r="K6" s="11" t="s">
        <v>9</v>
      </c>
      <c r="L6" s="11" t="s">
        <v>10</v>
      </c>
      <c r="M6" s="11" t="s">
        <v>11</v>
      </c>
    </row>
    <row r="7" spans="1:13" x14ac:dyDescent="0.2">
      <c r="A7" s="12"/>
      <c r="B7" s="12"/>
      <c r="C7" s="13" t="s">
        <v>30</v>
      </c>
      <c r="D7" s="14">
        <f>'GS Pay Scale'!B9</f>
        <v>27030</v>
      </c>
      <c r="E7" s="14">
        <f>'GS Pay Scale'!C9</f>
        <v>27931</v>
      </c>
      <c r="F7" s="14">
        <f>'GS Pay Scale'!D9</f>
        <v>28832</v>
      </c>
      <c r="G7" s="14">
        <f>'GS Pay Scale'!E9</f>
        <v>29733</v>
      </c>
      <c r="H7" s="14">
        <f>'GS Pay Scale'!F9</f>
        <v>30634</v>
      </c>
      <c r="I7" s="14">
        <f>'GS Pay Scale'!G9</f>
        <v>31535</v>
      </c>
      <c r="J7" s="14">
        <f>'GS Pay Scale'!H9</f>
        <v>32436</v>
      </c>
      <c r="K7" s="14">
        <f>'GS Pay Scale'!I9</f>
        <v>33337</v>
      </c>
      <c r="L7" s="14">
        <f>'GS Pay Scale'!J9</f>
        <v>34238</v>
      </c>
      <c r="M7" s="14">
        <f>'GS Pay Scale'!K9</f>
        <v>35139</v>
      </c>
    </row>
    <row r="8" spans="1:13" x14ac:dyDescent="0.2">
      <c r="A8" s="12"/>
      <c r="B8" s="12">
        <v>106</v>
      </c>
      <c r="C8" s="15" t="s">
        <v>41</v>
      </c>
      <c r="D8" s="16">
        <f t="shared" ref="D8:M8" si="0">D9*106</f>
        <v>1039.8600000000001</v>
      </c>
      <c r="E8" s="16">
        <f t="shared" si="0"/>
        <v>1073.78</v>
      </c>
      <c r="F8" s="16">
        <f t="shared" si="0"/>
        <v>1108.76</v>
      </c>
      <c r="G8" s="16">
        <f t="shared" si="0"/>
        <v>1143.74</v>
      </c>
      <c r="H8" s="16">
        <f t="shared" si="0"/>
        <v>1178.72</v>
      </c>
      <c r="I8" s="16">
        <f t="shared" si="0"/>
        <v>1212.6399999999999</v>
      </c>
      <c r="J8" s="16">
        <f t="shared" si="0"/>
        <v>1247.6199999999999</v>
      </c>
      <c r="K8" s="16">
        <f t="shared" si="0"/>
        <v>1282.5999999999999</v>
      </c>
      <c r="L8" s="16">
        <f t="shared" si="0"/>
        <v>1316.52</v>
      </c>
      <c r="M8" s="16">
        <f t="shared" si="0"/>
        <v>1351.5</v>
      </c>
    </row>
    <row r="9" spans="1:13" x14ac:dyDescent="0.2">
      <c r="A9" s="12"/>
      <c r="B9" s="12"/>
      <c r="C9" s="15" t="s">
        <v>13</v>
      </c>
      <c r="D9" s="16">
        <f>ROUND(D7/2756,2)</f>
        <v>9.81</v>
      </c>
      <c r="E9" s="16">
        <f t="shared" ref="E9:M9" si="1">ROUND(E7/2756,2)</f>
        <v>10.130000000000001</v>
      </c>
      <c r="F9" s="16">
        <f t="shared" si="1"/>
        <v>10.46</v>
      </c>
      <c r="G9" s="16">
        <f t="shared" si="1"/>
        <v>10.79</v>
      </c>
      <c r="H9" s="16">
        <f t="shared" si="1"/>
        <v>11.12</v>
      </c>
      <c r="I9" s="16">
        <f t="shared" si="1"/>
        <v>11.44</v>
      </c>
      <c r="J9" s="16">
        <f t="shared" si="1"/>
        <v>11.77</v>
      </c>
      <c r="K9" s="16">
        <f t="shared" si="1"/>
        <v>12.1</v>
      </c>
      <c r="L9" s="16">
        <f t="shared" si="1"/>
        <v>12.42</v>
      </c>
      <c r="M9" s="16">
        <f t="shared" si="1"/>
        <v>12.75</v>
      </c>
    </row>
    <row r="10" spans="1:13" x14ac:dyDescent="0.2">
      <c r="A10" s="17"/>
      <c r="B10" s="18">
        <f>($G$3-53)*2</f>
        <v>38</v>
      </c>
      <c r="C10" s="15" t="s">
        <v>42</v>
      </c>
      <c r="D10" s="16">
        <f>D11*$B$10</f>
        <v>559.36</v>
      </c>
      <c r="E10" s="16">
        <f t="shared" ref="E10:M10" si="2">E11*$B$10</f>
        <v>577.6</v>
      </c>
      <c r="F10" s="16">
        <f t="shared" si="2"/>
        <v>596.22</v>
      </c>
      <c r="G10" s="16">
        <f t="shared" si="2"/>
        <v>615.22</v>
      </c>
      <c r="H10" s="16">
        <f t="shared" si="2"/>
        <v>633.84</v>
      </c>
      <c r="I10" s="16">
        <f t="shared" si="2"/>
        <v>652.08000000000004</v>
      </c>
      <c r="J10" s="16">
        <f t="shared" si="2"/>
        <v>671.08</v>
      </c>
      <c r="K10" s="16">
        <f t="shared" si="2"/>
        <v>689.69999999999993</v>
      </c>
      <c r="L10" s="16">
        <f t="shared" si="2"/>
        <v>707.93999999999994</v>
      </c>
      <c r="M10" s="16">
        <f t="shared" si="2"/>
        <v>726.93999999999994</v>
      </c>
    </row>
    <row r="11" spans="1:13" x14ac:dyDescent="0.2">
      <c r="A11" s="12" t="s">
        <v>22</v>
      </c>
      <c r="B11" s="12"/>
      <c r="C11" s="15" t="s">
        <v>14</v>
      </c>
      <c r="D11" s="16">
        <f>IF(ROUND(D9*1.5,2)&lt;$G$122,ROUND(D9*1.5,2),IF($G$122&lt;D9,D9,$G$122))</f>
        <v>14.72</v>
      </c>
      <c r="E11" s="16">
        <f t="shared" ref="E11:M11" si="3">IF(ROUND(E9*1.5,2)&lt;$G$122,ROUND(E9*1.5,2),IF($G$122&lt;E9,E9,$G$122))</f>
        <v>15.2</v>
      </c>
      <c r="F11" s="16">
        <f t="shared" si="3"/>
        <v>15.69</v>
      </c>
      <c r="G11" s="16">
        <f t="shared" si="3"/>
        <v>16.190000000000001</v>
      </c>
      <c r="H11" s="16">
        <f t="shared" si="3"/>
        <v>16.68</v>
      </c>
      <c r="I11" s="16">
        <f t="shared" si="3"/>
        <v>17.16</v>
      </c>
      <c r="J11" s="16">
        <f t="shared" si="3"/>
        <v>17.66</v>
      </c>
      <c r="K11" s="16">
        <f t="shared" si="3"/>
        <v>18.149999999999999</v>
      </c>
      <c r="L11" s="16">
        <f t="shared" si="3"/>
        <v>18.63</v>
      </c>
      <c r="M11" s="16">
        <f t="shared" si="3"/>
        <v>19.13</v>
      </c>
    </row>
    <row r="12" spans="1:13" s="1" customFormat="1" x14ac:dyDescent="0.2">
      <c r="A12" s="51"/>
      <c r="B12" s="51"/>
      <c r="C12" s="28" t="s">
        <v>46</v>
      </c>
      <c r="D12" s="16">
        <f>ROUND(D9*'Start Page'!$F$48,2)*$B$13</f>
        <v>0</v>
      </c>
      <c r="E12" s="16">
        <f>ROUND(E9*'Start Page'!$F$48,2)*$B$13</f>
        <v>0</v>
      </c>
      <c r="F12" s="16">
        <f>ROUND(F9*'Start Page'!$F$48,2)*$B$13</f>
        <v>0</v>
      </c>
      <c r="G12" s="16">
        <f>ROUND(G9*'Start Page'!$F$48,2)*$B$13</f>
        <v>0</v>
      </c>
      <c r="H12" s="16">
        <f>ROUND(H9*'Start Page'!$F$48,2)*$B$13</f>
        <v>0</v>
      </c>
      <c r="I12" s="16">
        <f>ROUND(I9*'Start Page'!$F$48,2)*$B$13</f>
        <v>0</v>
      </c>
      <c r="J12" s="16">
        <f>ROUND(J9*'Start Page'!$F$48,2)*$B$13</f>
        <v>0</v>
      </c>
      <c r="K12" s="16">
        <f>ROUND(K9*'Start Page'!$F$48,2)*$B$13</f>
        <v>0</v>
      </c>
      <c r="L12" s="16">
        <f>ROUND(L9*'Start Page'!$F$48,2)*$B$13</f>
        <v>0</v>
      </c>
      <c r="M12" s="16">
        <f>ROUND(M9*'Start Page'!$F$48,2)*$B$13</f>
        <v>0</v>
      </c>
    </row>
    <row r="13" spans="1:13" x14ac:dyDescent="0.2">
      <c r="A13" s="12"/>
      <c r="B13" s="12">
        <f>B8+B10</f>
        <v>144</v>
      </c>
      <c r="C13" s="19" t="s">
        <v>17</v>
      </c>
      <c r="D13" s="20">
        <f>D8+D10+D12</f>
        <v>1599.2200000000003</v>
      </c>
      <c r="E13" s="20">
        <f t="shared" ref="E13:M13" si="4">E8+E10+E12</f>
        <v>1651.38</v>
      </c>
      <c r="F13" s="20">
        <f t="shared" si="4"/>
        <v>1704.98</v>
      </c>
      <c r="G13" s="20">
        <f t="shared" si="4"/>
        <v>1758.96</v>
      </c>
      <c r="H13" s="20">
        <f t="shared" si="4"/>
        <v>1812.56</v>
      </c>
      <c r="I13" s="20">
        <f t="shared" si="4"/>
        <v>1864.7199999999998</v>
      </c>
      <c r="J13" s="20">
        <f t="shared" si="4"/>
        <v>1918.6999999999998</v>
      </c>
      <c r="K13" s="20">
        <f t="shared" si="4"/>
        <v>1972.2999999999997</v>
      </c>
      <c r="L13" s="20">
        <f t="shared" si="4"/>
        <v>2024.46</v>
      </c>
      <c r="M13" s="20">
        <f t="shared" si="4"/>
        <v>2078.44</v>
      </c>
    </row>
    <row r="14" spans="1:13" x14ac:dyDescent="0.2">
      <c r="A14" s="12"/>
      <c r="B14" s="12"/>
      <c r="C14" s="19" t="s">
        <v>33</v>
      </c>
      <c r="D14" s="20">
        <f>D13*'Start Page'!$C$65</f>
        <v>41579.720000000008</v>
      </c>
      <c r="E14" s="20">
        <f>E13*'Start Page'!$C$65</f>
        <v>42935.880000000005</v>
      </c>
      <c r="F14" s="20">
        <f>F13*'Start Page'!$C$65</f>
        <v>44329.48</v>
      </c>
      <c r="G14" s="20">
        <f>G13*'Start Page'!$C$65</f>
        <v>45732.959999999999</v>
      </c>
      <c r="H14" s="20">
        <f>H13*'Start Page'!$C$65</f>
        <v>47126.559999999998</v>
      </c>
      <c r="I14" s="20">
        <f>I13*'Start Page'!$C$65</f>
        <v>48482.719999999994</v>
      </c>
      <c r="J14" s="20">
        <f>J13*'Start Page'!$C$65</f>
        <v>49886.2</v>
      </c>
      <c r="K14" s="20">
        <f>K13*'Start Page'!$C$65</f>
        <v>51279.799999999996</v>
      </c>
      <c r="L14" s="20">
        <f>L13*'Start Page'!$C$65</f>
        <v>52635.96</v>
      </c>
      <c r="M14" s="20">
        <f>M13*'Start Page'!$C$65</f>
        <v>54039.44</v>
      </c>
    </row>
    <row r="15" spans="1:13" s="24" customFormat="1" x14ac:dyDescent="0.2">
      <c r="A15" s="21"/>
      <c r="B15" s="21"/>
      <c r="C15" s="22" t="s">
        <v>71</v>
      </c>
      <c r="D15" s="23">
        <f>D9*$B$13*'Start Page'!$C$65</f>
        <v>36728.639999999999</v>
      </c>
      <c r="E15" s="23">
        <f>E9*$B$13*'Start Page'!$C$65</f>
        <v>37926.720000000001</v>
      </c>
      <c r="F15" s="23">
        <f>F9*$B$13*'Start Page'!$C$65</f>
        <v>39162.240000000005</v>
      </c>
      <c r="G15" s="23">
        <f>G9*$B$13*'Start Page'!$C$65</f>
        <v>40397.759999999995</v>
      </c>
      <c r="H15" s="23">
        <f>H9*$B$13*'Start Page'!$C$65</f>
        <v>41633.279999999999</v>
      </c>
      <c r="I15" s="23">
        <f>I9*$B$13*'Start Page'!$C$65</f>
        <v>42831.360000000001</v>
      </c>
      <c r="J15" s="23">
        <f>J9*$B$13*'Start Page'!$C$65</f>
        <v>44066.879999999997</v>
      </c>
      <c r="K15" s="23">
        <f>K9*$B$13*'Start Page'!$C$65</f>
        <v>45302.399999999994</v>
      </c>
      <c r="L15" s="23">
        <f>L9*$B$13*'Start Page'!$C$65</f>
        <v>46500.480000000003</v>
      </c>
      <c r="M15" s="88">
        <f>M9*$B$13*'Start Page'!$C$65</f>
        <v>47736</v>
      </c>
    </row>
    <row r="16" spans="1:13" x14ac:dyDescent="0.2">
      <c r="A16" s="25"/>
      <c r="B16" s="12"/>
      <c r="C16" s="13" t="s">
        <v>30</v>
      </c>
      <c r="D16" s="14">
        <f>'GS Pay Scale'!B10</f>
        <v>30344</v>
      </c>
      <c r="E16" s="14">
        <f>'GS Pay Scale'!C10</f>
        <v>31355</v>
      </c>
      <c r="F16" s="14">
        <f>'GS Pay Scale'!D10</f>
        <v>32366</v>
      </c>
      <c r="G16" s="14">
        <f>'GS Pay Scale'!E10</f>
        <v>33377</v>
      </c>
      <c r="H16" s="14">
        <f>'GS Pay Scale'!F10</f>
        <v>34388</v>
      </c>
      <c r="I16" s="14">
        <f>'GS Pay Scale'!G10</f>
        <v>35398</v>
      </c>
      <c r="J16" s="14">
        <f>'GS Pay Scale'!H10</f>
        <v>36409</v>
      </c>
      <c r="K16" s="14">
        <f>'GS Pay Scale'!I10</f>
        <v>37420</v>
      </c>
      <c r="L16" s="14">
        <f>'GS Pay Scale'!J10</f>
        <v>38431</v>
      </c>
      <c r="M16" s="14">
        <f>'GS Pay Scale'!K10</f>
        <v>39442</v>
      </c>
    </row>
    <row r="17" spans="1:13" x14ac:dyDescent="0.2">
      <c r="A17" s="12"/>
      <c r="B17" s="12">
        <v>106</v>
      </c>
      <c r="C17" s="15" t="s">
        <v>41</v>
      </c>
      <c r="D17" s="16">
        <f t="shared" ref="D17:M17" si="5">D18*106</f>
        <v>1167.06</v>
      </c>
      <c r="E17" s="16">
        <f t="shared" si="5"/>
        <v>1206.28</v>
      </c>
      <c r="F17" s="16">
        <f t="shared" si="5"/>
        <v>1244.44</v>
      </c>
      <c r="G17" s="16">
        <f t="shared" si="5"/>
        <v>1283.6599999999999</v>
      </c>
      <c r="H17" s="16">
        <f t="shared" si="5"/>
        <v>1322.88</v>
      </c>
      <c r="I17" s="16">
        <f t="shared" si="5"/>
        <v>1361.04</v>
      </c>
      <c r="J17" s="16">
        <f t="shared" si="5"/>
        <v>1400.26</v>
      </c>
      <c r="K17" s="16">
        <f t="shared" si="5"/>
        <v>1439.48</v>
      </c>
      <c r="L17" s="16">
        <f t="shared" si="5"/>
        <v>1477.6399999999999</v>
      </c>
      <c r="M17" s="16">
        <f t="shared" si="5"/>
        <v>1516.8600000000001</v>
      </c>
    </row>
    <row r="18" spans="1:13" x14ac:dyDescent="0.2">
      <c r="A18" s="12"/>
      <c r="B18" s="12"/>
      <c r="C18" s="15" t="s">
        <v>13</v>
      </c>
      <c r="D18" s="16">
        <f>ROUND(D16/2756,2)</f>
        <v>11.01</v>
      </c>
      <c r="E18" s="16">
        <f t="shared" ref="E18:M18" si="6">ROUND(E16/2756,2)</f>
        <v>11.38</v>
      </c>
      <c r="F18" s="16">
        <f t="shared" si="6"/>
        <v>11.74</v>
      </c>
      <c r="G18" s="16">
        <f t="shared" si="6"/>
        <v>12.11</v>
      </c>
      <c r="H18" s="16">
        <f t="shared" si="6"/>
        <v>12.48</v>
      </c>
      <c r="I18" s="16">
        <f t="shared" si="6"/>
        <v>12.84</v>
      </c>
      <c r="J18" s="16">
        <f t="shared" si="6"/>
        <v>13.21</v>
      </c>
      <c r="K18" s="16">
        <f t="shared" si="6"/>
        <v>13.58</v>
      </c>
      <c r="L18" s="16">
        <f t="shared" si="6"/>
        <v>13.94</v>
      </c>
      <c r="M18" s="16">
        <f t="shared" si="6"/>
        <v>14.31</v>
      </c>
    </row>
    <row r="19" spans="1:13" x14ac:dyDescent="0.2">
      <c r="A19" s="17"/>
      <c r="B19" s="18">
        <f>($G$3-53)*2</f>
        <v>38</v>
      </c>
      <c r="C19" s="15" t="s">
        <v>42</v>
      </c>
      <c r="D19" s="16">
        <f t="shared" ref="D19:M19" si="7">D20*$B$10</f>
        <v>627.76</v>
      </c>
      <c r="E19" s="16">
        <f t="shared" si="7"/>
        <v>648.66</v>
      </c>
      <c r="F19" s="16">
        <f t="shared" si="7"/>
        <v>669.18</v>
      </c>
      <c r="G19" s="16">
        <f t="shared" si="7"/>
        <v>690.46</v>
      </c>
      <c r="H19" s="16">
        <f t="shared" si="7"/>
        <v>711.3599999999999</v>
      </c>
      <c r="I19" s="16">
        <f t="shared" si="7"/>
        <v>731.88000000000011</v>
      </c>
      <c r="J19" s="16">
        <f t="shared" si="7"/>
        <v>753.16</v>
      </c>
      <c r="K19" s="16">
        <f t="shared" si="7"/>
        <v>774.06000000000006</v>
      </c>
      <c r="L19" s="16">
        <f t="shared" si="7"/>
        <v>794.58</v>
      </c>
      <c r="M19" s="16">
        <f t="shared" si="7"/>
        <v>815.8599999999999</v>
      </c>
    </row>
    <row r="20" spans="1:13" x14ac:dyDescent="0.2">
      <c r="A20" s="12" t="s">
        <v>23</v>
      </c>
      <c r="B20" s="12"/>
      <c r="C20" s="15" t="s">
        <v>14</v>
      </c>
      <c r="D20" s="16">
        <f>IF(ROUND(D18*1.5,2)&lt;$G$122,ROUND(D18*1.5,2),IF($G$122&lt;D18,D18,$G$122))</f>
        <v>16.52</v>
      </c>
      <c r="E20" s="16">
        <f t="shared" ref="E20:M20" si="8">IF(ROUND(E18*1.5,2)&lt;$G$122,ROUND(E18*1.5,2),IF($G$122&lt;E18,E18,$G$122))</f>
        <v>17.07</v>
      </c>
      <c r="F20" s="16">
        <f t="shared" si="8"/>
        <v>17.61</v>
      </c>
      <c r="G20" s="16">
        <f t="shared" si="8"/>
        <v>18.170000000000002</v>
      </c>
      <c r="H20" s="16">
        <f t="shared" si="8"/>
        <v>18.72</v>
      </c>
      <c r="I20" s="16">
        <f t="shared" si="8"/>
        <v>19.260000000000002</v>
      </c>
      <c r="J20" s="16">
        <f t="shared" si="8"/>
        <v>19.82</v>
      </c>
      <c r="K20" s="16">
        <f t="shared" si="8"/>
        <v>20.37</v>
      </c>
      <c r="L20" s="16">
        <f t="shared" si="8"/>
        <v>20.91</v>
      </c>
      <c r="M20" s="16">
        <f t="shared" si="8"/>
        <v>21.47</v>
      </c>
    </row>
    <row r="21" spans="1:13" s="1" customFormat="1" x14ac:dyDescent="0.2">
      <c r="A21" s="51"/>
      <c r="B21" s="51"/>
      <c r="C21" s="28" t="s">
        <v>46</v>
      </c>
      <c r="D21" s="16">
        <f>ROUND(D18*'Start Page'!$F$48,2)*$B$13</f>
        <v>0</v>
      </c>
      <c r="E21" s="16">
        <f>ROUND(E18*'Start Page'!$F$48,2)*$B$13</f>
        <v>0</v>
      </c>
      <c r="F21" s="16">
        <f>ROUND(F18*'Start Page'!$F$48,2)*$B$13</f>
        <v>0</v>
      </c>
      <c r="G21" s="16">
        <f>ROUND(G18*'Start Page'!$F$48,2)*$B$13</f>
        <v>0</v>
      </c>
      <c r="H21" s="16">
        <f>ROUND(H18*'Start Page'!$F$48,2)*$B$13</f>
        <v>0</v>
      </c>
      <c r="I21" s="16">
        <f>ROUND(I18*'Start Page'!$F$48,2)*$B$13</f>
        <v>0</v>
      </c>
      <c r="J21" s="16">
        <f>ROUND(J18*'Start Page'!$F$48,2)*$B$13</f>
        <v>0</v>
      </c>
      <c r="K21" s="16">
        <f>ROUND(K18*'Start Page'!$F$48,2)*$B$13</f>
        <v>0</v>
      </c>
      <c r="L21" s="16">
        <f>ROUND(L18*'Start Page'!$F$48,2)*$B$13</f>
        <v>0</v>
      </c>
      <c r="M21" s="16">
        <f>ROUND(M18*'Start Page'!$F$48,2)*$B$13</f>
        <v>0</v>
      </c>
    </row>
    <row r="22" spans="1:13" x14ac:dyDescent="0.2">
      <c r="A22" s="12"/>
      <c r="B22" s="12">
        <f>B17+B19</f>
        <v>144</v>
      </c>
      <c r="C22" s="19" t="s">
        <v>17</v>
      </c>
      <c r="D22" s="20">
        <f t="shared" ref="D22:M22" si="9">D17+D19+D21</f>
        <v>1794.82</v>
      </c>
      <c r="E22" s="20">
        <f t="shared" si="9"/>
        <v>1854.94</v>
      </c>
      <c r="F22" s="20">
        <f t="shared" si="9"/>
        <v>1913.62</v>
      </c>
      <c r="G22" s="20">
        <f t="shared" si="9"/>
        <v>1974.12</v>
      </c>
      <c r="H22" s="20">
        <f t="shared" si="9"/>
        <v>2034.24</v>
      </c>
      <c r="I22" s="20">
        <f t="shared" si="9"/>
        <v>2092.92</v>
      </c>
      <c r="J22" s="20">
        <f t="shared" si="9"/>
        <v>2153.42</v>
      </c>
      <c r="K22" s="20">
        <f t="shared" si="9"/>
        <v>2213.54</v>
      </c>
      <c r="L22" s="20">
        <f t="shared" si="9"/>
        <v>2272.2199999999998</v>
      </c>
      <c r="M22" s="20">
        <f t="shared" si="9"/>
        <v>2332.7200000000003</v>
      </c>
    </row>
    <row r="23" spans="1:13" x14ac:dyDescent="0.2">
      <c r="A23" s="12"/>
      <c r="B23" s="12"/>
      <c r="C23" s="19" t="s">
        <v>33</v>
      </c>
      <c r="D23" s="20">
        <f>D22*'Start Page'!$C$65</f>
        <v>46665.32</v>
      </c>
      <c r="E23" s="20">
        <f>E22*'Start Page'!$C$65</f>
        <v>48228.44</v>
      </c>
      <c r="F23" s="20">
        <f>F22*'Start Page'!$C$65</f>
        <v>49754.119999999995</v>
      </c>
      <c r="G23" s="20">
        <f>G22*'Start Page'!$C$65</f>
        <v>51327.119999999995</v>
      </c>
      <c r="H23" s="20">
        <f>H22*'Start Page'!$C$65</f>
        <v>52890.239999999998</v>
      </c>
      <c r="I23" s="20">
        <f>I22*'Start Page'!$C$65</f>
        <v>54415.92</v>
      </c>
      <c r="J23" s="20">
        <f>J22*'Start Page'!$C$65</f>
        <v>55988.92</v>
      </c>
      <c r="K23" s="20">
        <f>K22*'Start Page'!$C$65</f>
        <v>57552.04</v>
      </c>
      <c r="L23" s="20">
        <f>L22*'Start Page'!$C$65</f>
        <v>59077.719999999994</v>
      </c>
      <c r="M23" s="20">
        <f>M22*'Start Page'!$C$65</f>
        <v>60650.720000000008</v>
      </c>
    </row>
    <row r="24" spans="1:13" s="24" customFormat="1" x14ac:dyDescent="0.2">
      <c r="A24" s="21"/>
      <c r="B24" s="21"/>
      <c r="C24" s="22" t="s">
        <v>71</v>
      </c>
      <c r="D24" s="23">
        <f>D18*$B$13*'Start Page'!$C$65</f>
        <v>41221.440000000002</v>
      </c>
      <c r="E24" s="23">
        <f>E18*$B$13*'Start Page'!$C$65</f>
        <v>42606.720000000001</v>
      </c>
      <c r="F24" s="23">
        <f>F18*$B$13*'Start Page'!$C$65</f>
        <v>43954.559999999998</v>
      </c>
      <c r="G24" s="23">
        <f>G18*$B$13*'Start Page'!$C$65</f>
        <v>45339.839999999997</v>
      </c>
      <c r="H24" s="23">
        <f>H18*$B$13*'Start Page'!$C$65</f>
        <v>46725.120000000003</v>
      </c>
      <c r="I24" s="23">
        <f>I18*$B$13*'Start Page'!$C$65</f>
        <v>48072.959999999999</v>
      </c>
      <c r="J24" s="23">
        <f>J18*$B$13*'Start Page'!$C$65</f>
        <v>49458.240000000005</v>
      </c>
      <c r="K24" s="23">
        <f>K18*$B$13*'Start Page'!$C$65</f>
        <v>50843.519999999997</v>
      </c>
      <c r="L24" s="23">
        <f>L18*$B$13*'Start Page'!$C$65</f>
        <v>52191.360000000001</v>
      </c>
      <c r="M24" s="88">
        <f>M18*$B$13*'Start Page'!$C$65</f>
        <v>53576.639999999999</v>
      </c>
    </row>
    <row r="25" spans="1:13" x14ac:dyDescent="0.2">
      <c r="A25" s="25"/>
      <c r="B25" s="12"/>
      <c r="C25" s="13" t="s">
        <v>30</v>
      </c>
      <c r="D25" s="14">
        <f>'GS Pay Scale'!B11</f>
        <v>33949</v>
      </c>
      <c r="E25" s="14">
        <f>'GS Pay Scale'!C11</f>
        <v>35080</v>
      </c>
      <c r="F25" s="14">
        <f>'GS Pay Scale'!D11</f>
        <v>36212</v>
      </c>
      <c r="G25" s="14">
        <f>'GS Pay Scale'!E11</f>
        <v>37343</v>
      </c>
      <c r="H25" s="14">
        <f>'GS Pay Scale'!F11</f>
        <v>38474</v>
      </c>
      <c r="I25" s="14">
        <f>'GS Pay Scale'!G11</f>
        <v>39605</v>
      </c>
      <c r="J25" s="14">
        <f>'GS Pay Scale'!H11</f>
        <v>40737</v>
      </c>
      <c r="K25" s="14">
        <f>'GS Pay Scale'!I11</f>
        <v>41868</v>
      </c>
      <c r="L25" s="14">
        <f>'GS Pay Scale'!J11</f>
        <v>42999</v>
      </c>
      <c r="M25" s="14">
        <f>'GS Pay Scale'!K11</f>
        <v>44130</v>
      </c>
    </row>
    <row r="26" spans="1:13" x14ac:dyDescent="0.2">
      <c r="A26" s="12"/>
      <c r="B26" s="12">
        <v>106</v>
      </c>
      <c r="C26" s="15" t="s">
        <v>41</v>
      </c>
      <c r="D26" s="16">
        <f t="shared" ref="D26:M26" si="10">D27*106</f>
        <v>1305.92</v>
      </c>
      <c r="E26" s="16">
        <f t="shared" si="10"/>
        <v>1349.38</v>
      </c>
      <c r="F26" s="16">
        <f t="shared" si="10"/>
        <v>1392.8400000000001</v>
      </c>
      <c r="G26" s="16">
        <f t="shared" si="10"/>
        <v>1436.3000000000002</v>
      </c>
      <c r="H26" s="16">
        <f t="shared" si="10"/>
        <v>1479.76</v>
      </c>
      <c r="I26" s="16">
        <f t="shared" si="10"/>
        <v>1523.22</v>
      </c>
      <c r="J26" s="16">
        <f t="shared" si="10"/>
        <v>1566.6799999999998</v>
      </c>
      <c r="K26" s="16">
        <f t="shared" si="10"/>
        <v>1610.1399999999999</v>
      </c>
      <c r="L26" s="16">
        <f t="shared" si="10"/>
        <v>1653.6</v>
      </c>
      <c r="M26" s="16">
        <f t="shared" si="10"/>
        <v>1697.0600000000002</v>
      </c>
    </row>
    <row r="27" spans="1:13" x14ac:dyDescent="0.2">
      <c r="A27" s="12"/>
      <c r="B27" s="12"/>
      <c r="C27" s="15" t="s">
        <v>13</v>
      </c>
      <c r="D27" s="16">
        <f>ROUND(D25/2756,2)</f>
        <v>12.32</v>
      </c>
      <c r="E27" s="16">
        <f t="shared" ref="E27:M27" si="11">ROUND(E25/2756,2)</f>
        <v>12.73</v>
      </c>
      <c r="F27" s="16">
        <f t="shared" si="11"/>
        <v>13.14</v>
      </c>
      <c r="G27" s="16">
        <f t="shared" si="11"/>
        <v>13.55</v>
      </c>
      <c r="H27" s="16">
        <f t="shared" si="11"/>
        <v>13.96</v>
      </c>
      <c r="I27" s="16">
        <f t="shared" si="11"/>
        <v>14.37</v>
      </c>
      <c r="J27" s="16">
        <f t="shared" si="11"/>
        <v>14.78</v>
      </c>
      <c r="K27" s="16">
        <f t="shared" si="11"/>
        <v>15.19</v>
      </c>
      <c r="L27" s="16">
        <f t="shared" si="11"/>
        <v>15.6</v>
      </c>
      <c r="M27" s="16">
        <f t="shared" si="11"/>
        <v>16.010000000000002</v>
      </c>
    </row>
    <row r="28" spans="1:13" x14ac:dyDescent="0.2">
      <c r="A28" s="17"/>
      <c r="B28" s="18">
        <f>($G$3-53)*2</f>
        <v>38</v>
      </c>
      <c r="C28" s="15" t="s">
        <v>42</v>
      </c>
      <c r="D28" s="16">
        <f t="shared" ref="D28:M28" si="12">D29*$B$10</f>
        <v>702.24</v>
      </c>
      <c r="E28" s="16">
        <f t="shared" si="12"/>
        <v>725.80000000000007</v>
      </c>
      <c r="F28" s="16">
        <f t="shared" si="12"/>
        <v>748.98</v>
      </c>
      <c r="G28" s="16">
        <f t="shared" si="12"/>
        <v>772.54</v>
      </c>
      <c r="H28" s="16">
        <f t="shared" si="12"/>
        <v>795.72</v>
      </c>
      <c r="I28" s="16">
        <f t="shared" si="12"/>
        <v>819.28</v>
      </c>
      <c r="J28" s="16">
        <f t="shared" si="12"/>
        <v>842.46</v>
      </c>
      <c r="K28" s="16">
        <f t="shared" si="12"/>
        <v>866.02</v>
      </c>
      <c r="L28" s="16">
        <f t="shared" si="12"/>
        <v>889.19999999999993</v>
      </c>
      <c r="M28" s="16">
        <f t="shared" si="12"/>
        <v>912.76</v>
      </c>
    </row>
    <row r="29" spans="1:13" x14ac:dyDescent="0.2">
      <c r="A29" s="12" t="s">
        <v>24</v>
      </c>
      <c r="B29" s="12"/>
      <c r="C29" s="15" t="s">
        <v>14</v>
      </c>
      <c r="D29" s="16">
        <f>IF(ROUND(D27*1.5,2)&lt;$G$122,ROUND(D27*1.5,2),IF($G$122&lt;D27,D27,$G$122))</f>
        <v>18.48</v>
      </c>
      <c r="E29" s="16">
        <f t="shared" ref="E29:M29" si="13">IF(ROUND(E27*1.5,2)&lt;$G$122,ROUND(E27*1.5,2),IF($G$122&lt;E27,E27,$G$122))</f>
        <v>19.100000000000001</v>
      </c>
      <c r="F29" s="16">
        <f t="shared" si="13"/>
        <v>19.71</v>
      </c>
      <c r="G29" s="16">
        <f t="shared" si="13"/>
        <v>20.329999999999998</v>
      </c>
      <c r="H29" s="16">
        <f t="shared" si="13"/>
        <v>20.94</v>
      </c>
      <c r="I29" s="16">
        <f t="shared" si="13"/>
        <v>21.56</v>
      </c>
      <c r="J29" s="16">
        <f t="shared" si="13"/>
        <v>22.17</v>
      </c>
      <c r="K29" s="16">
        <f t="shared" si="13"/>
        <v>22.79</v>
      </c>
      <c r="L29" s="16">
        <f t="shared" si="13"/>
        <v>23.4</v>
      </c>
      <c r="M29" s="16">
        <f t="shared" si="13"/>
        <v>24.02</v>
      </c>
    </row>
    <row r="30" spans="1:13" s="1" customFormat="1" x14ac:dyDescent="0.2">
      <c r="A30" s="51"/>
      <c r="B30" s="51"/>
      <c r="C30" s="28" t="s">
        <v>46</v>
      </c>
      <c r="D30" s="16">
        <f>ROUND(D27*'Start Page'!$F$48,2)*$B$13</f>
        <v>0</v>
      </c>
      <c r="E30" s="16">
        <f>ROUND(E27*'Start Page'!$F$48,2)*$B$13</f>
        <v>0</v>
      </c>
      <c r="F30" s="16">
        <f>ROUND(F27*'Start Page'!$F$48,2)*$B$13</f>
        <v>0</v>
      </c>
      <c r="G30" s="16">
        <f>ROUND(G27*'Start Page'!$F$48,2)*$B$13</f>
        <v>0</v>
      </c>
      <c r="H30" s="16">
        <f>ROUND(H27*'Start Page'!$F$48,2)*$B$13</f>
        <v>0</v>
      </c>
      <c r="I30" s="16">
        <f>ROUND(I27*'Start Page'!$F$48,2)*$B$13</f>
        <v>0</v>
      </c>
      <c r="J30" s="16">
        <f>ROUND(J27*'Start Page'!$F$48,2)*$B$13</f>
        <v>0</v>
      </c>
      <c r="K30" s="16">
        <f>ROUND(K27*'Start Page'!$F$48,2)*$B$13</f>
        <v>0</v>
      </c>
      <c r="L30" s="16">
        <f>ROUND(L27*'Start Page'!$F$48,2)*$B$13</f>
        <v>0</v>
      </c>
      <c r="M30" s="16">
        <f>ROUND(M27*'Start Page'!$F$48,2)*$B$13</f>
        <v>0</v>
      </c>
    </row>
    <row r="31" spans="1:13" x14ac:dyDescent="0.2">
      <c r="A31" s="12"/>
      <c r="B31" s="12">
        <f>B26+B28</f>
        <v>144</v>
      </c>
      <c r="C31" s="19" t="s">
        <v>17</v>
      </c>
      <c r="D31" s="20">
        <f t="shared" ref="D31:M31" si="14">D26+D28+D30</f>
        <v>2008.16</v>
      </c>
      <c r="E31" s="20">
        <f t="shared" si="14"/>
        <v>2075.1800000000003</v>
      </c>
      <c r="F31" s="20">
        <f t="shared" si="14"/>
        <v>2141.8200000000002</v>
      </c>
      <c r="G31" s="20">
        <f t="shared" si="14"/>
        <v>2208.84</v>
      </c>
      <c r="H31" s="20">
        <f t="shared" si="14"/>
        <v>2275.48</v>
      </c>
      <c r="I31" s="20">
        <f t="shared" si="14"/>
        <v>2342.5</v>
      </c>
      <c r="J31" s="20">
        <f t="shared" si="14"/>
        <v>2409.14</v>
      </c>
      <c r="K31" s="20">
        <f t="shared" si="14"/>
        <v>2476.16</v>
      </c>
      <c r="L31" s="20">
        <f t="shared" si="14"/>
        <v>2542.7999999999997</v>
      </c>
      <c r="M31" s="20">
        <f t="shared" si="14"/>
        <v>2609.8200000000002</v>
      </c>
    </row>
    <row r="32" spans="1:13" x14ac:dyDescent="0.2">
      <c r="A32" s="12"/>
      <c r="B32" s="12"/>
      <c r="C32" s="19" t="s">
        <v>33</v>
      </c>
      <c r="D32" s="20">
        <f>D31*'Start Page'!$C$65</f>
        <v>52212.160000000003</v>
      </c>
      <c r="E32" s="20">
        <f>E31*'Start Page'!$C$65</f>
        <v>53954.680000000008</v>
      </c>
      <c r="F32" s="20">
        <f>F31*'Start Page'!$C$65</f>
        <v>55687.320000000007</v>
      </c>
      <c r="G32" s="20">
        <f>G31*'Start Page'!$C$65</f>
        <v>57429.840000000004</v>
      </c>
      <c r="H32" s="20">
        <f>H31*'Start Page'!$C$65</f>
        <v>59162.48</v>
      </c>
      <c r="I32" s="20">
        <f>I31*'Start Page'!$C$65</f>
        <v>60905</v>
      </c>
      <c r="J32" s="20">
        <f>J31*'Start Page'!$C$65</f>
        <v>62637.64</v>
      </c>
      <c r="K32" s="20">
        <f>K31*'Start Page'!$C$65</f>
        <v>64380.159999999996</v>
      </c>
      <c r="L32" s="20">
        <f>L31*'Start Page'!$C$65</f>
        <v>66112.799999999988</v>
      </c>
      <c r="M32" s="20">
        <f>M31*'Start Page'!$C$65</f>
        <v>67855.320000000007</v>
      </c>
    </row>
    <row r="33" spans="1:13" s="24" customFormat="1" x14ac:dyDescent="0.2">
      <c r="A33" s="21"/>
      <c r="B33" s="21"/>
      <c r="C33" s="22" t="s">
        <v>71</v>
      </c>
      <c r="D33" s="23">
        <f>D27*$B$13*'Start Page'!$C$65</f>
        <v>46126.080000000002</v>
      </c>
      <c r="E33" s="23">
        <f>E27*$B$13*'Start Page'!$C$65</f>
        <v>47661.120000000003</v>
      </c>
      <c r="F33" s="23">
        <f>F27*$B$13*'Start Page'!$C$65</f>
        <v>49196.160000000003</v>
      </c>
      <c r="G33" s="23">
        <f>G27*$B$13*'Start Page'!$C$65</f>
        <v>50731.200000000004</v>
      </c>
      <c r="H33" s="23">
        <f>H27*$B$13*'Start Page'!$C$65</f>
        <v>52266.240000000005</v>
      </c>
      <c r="I33" s="23">
        <f>I27*$B$13*'Start Page'!$C$65</f>
        <v>53801.279999999992</v>
      </c>
      <c r="J33" s="23">
        <f>J27*$B$13*'Start Page'!$C$65</f>
        <v>55336.319999999992</v>
      </c>
      <c r="K33" s="23">
        <f>K27*$B$13*'Start Page'!$C$65</f>
        <v>56871.360000000001</v>
      </c>
      <c r="L33" s="23">
        <f>L27*$B$13*'Start Page'!$C$65</f>
        <v>58406.400000000001</v>
      </c>
      <c r="M33" s="88">
        <f>M27*$B$13*'Start Page'!$C$65</f>
        <v>59941.440000000002</v>
      </c>
    </row>
    <row r="34" spans="1:13" x14ac:dyDescent="0.2">
      <c r="A34" s="25"/>
      <c r="B34" s="12"/>
      <c r="C34" s="13" t="s">
        <v>30</v>
      </c>
      <c r="D34" s="14">
        <f>'GS Pay Scale'!B12</f>
        <v>37843</v>
      </c>
      <c r="E34" s="14">
        <f>'GS Pay Scale'!C12</f>
        <v>39105</v>
      </c>
      <c r="F34" s="14">
        <f>'GS Pay Scale'!D12</f>
        <v>40367</v>
      </c>
      <c r="G34" s="14">
        <f>'GS Pay Scale'!E12</f>
        <v>41628</v>
      </c>
      <c r="H34" s="14">
        <f>'GS Pay Scale'!F12</f>
        <v>42890</v>
      </c>
      <c r="I34" s="14">
        <f>'GS Pay Scale'!G12</f>
        <v>44152</v>
      </c>
      <c r="J34" s="14">
        <f>'GS Pay Scale'!H12</f>
        <v>45414</v>
      </c>
      <c r="K34" s="14">
        <f>'GS Pay Scale'!I12</f>
        <v>46676</v>
      </c>
      <c r="L34" s="14">
        <f>'GS Pay Scale'!J12</f>
        <v>47938</v>
      </c>
      <c r="M34" s="14">
        <f>'GS Pay Scale'!K12</f>
        <v>49200</v>
      </c>
    </row>
    <row r="35" spans="1:13" x14ac:dyDescent="0.2">
      <c r="A35" s="12"/>
      <c r="B35" s="12">
        <v>106</v>
      </c>
      <c r="C35" s="15" t="s">
        <v>41</v>
      </c>
      <c r="D35" s="16">
        <f t="shared" ref="D35:M35" si="15">D36*106</f>
        <v>1455.38</v>
      </c>
      <c r="E35" s="16">
        <f t="shared" si="15"/>
        <v>1504.1399999999999</v>
      </c>
      <c r="F35" s="16">
        <f t="shared" si="15"/>
        <v>1552.9</v>
      </c>
      <c r="G35" s="16">
        <f t="shared" si="15"/>
        <v>1600.6</v>
      </c>
      <c r="H35" s="16">
        <f t="shared" si="15"/>
        <v>1649.3600000000001</v>
      </c>
      <c r="I35" s="16">
        <f t="shared" si="15"/>
        <v>1698.12</v>
      </c>
      <c r="J35" s="16">
        <f t="shared" si="15"/>
        <v>1746.88</v>
      </c>
      <c r="K35" s="16">
        <f t="shared" si="15"/>
        <v>1795.64</v>
      </c>
      <c r="L35" s="16">
        <f t="shared" si="15"/>
        <v>1843.3400000000001</v>
      </c>
      <c r="M35" s="16">
        <f t="shared" si="15"/>
        <v>1892.1000000000001</v>
      </c>
    </row>
    <row r="36" spans="1:13" x14ac:dyDescent="0.2">
      <c r="A36" s="12"/>
      <c r="B36" s="12"/>
      <c r="C36" s="15" t="s">
        <v>13</v>
      </c>
      <c r="D36" s="16">
        <f>ROUND(D34/2756,2)</f>
        <v>13.73</v>
      </c>
      <c r="E36" s="16">
        <f t="shared" ref="E36:M36" si="16">ROUND(E34/2756,2)</f>
        <v>14.19</v>
      </c>
      <c r="F36" s="16">
        <f t="shared" si="16"/>
        <v>14.65</v>
      </c>
      <c r="G36" s="16">
        <f t="shared" si="16"/>
        <v>15.1</v>
      </c>
      <c r="H36" s="16">
        <f t="shared" si="16"/>
        <v>15.56</v>
      </c>
      <c r="I36" s="16">
        <f t="shared" si="16"/>
        <v>16.02</v>
      </c>
      <c r="J36" s="16">
        <f t="shared" si="16"/>
        <v>16.48</v>
      </c>
      <c r="K36" s="16">
        <f t="shared" si="16"/>
        <v>16.940000000000001</v>
      </c>
      <c r="L36" s="16">
        <f t="shared" si="16"/>
        <v>17.39</v>
      </c>
      <c r="M36" s="16">
        <f t="shared" si="16"/>
        <v>17.850000000000001</v>
      </c>
    </row>
    <row r="37" spans="1:13" x14ac:dyDescent="0.2">
      <c r="A37" s="17"/>
      <c r="B37" s="18">
        <f>($G$3-53)*2</f>
        <v>38</v>
      </c>
      <c r="C37" s="15" t="s">
        <v>42</v>
      </c>
      <c r="D37" s="16">
        <f t="shared" ref="D37:M37" si="17">D38*$B$10</f>
        <v>782.80000000000007</v>
      </c>
      <c r="E37" s="16">
        <f t="shared" si="17"/>
        <v>809.02</v>
      </c>
      <c r="F37" s="16">
        <f t="shared" si="17"/>
        <v>835.24</v>
      </c>
      <c r="G37" s="16">
        <f t="shared" si="17"/>
        <v>860.69999999999993</v>
      </c>
      <c r="H37" s="16">
        <f t="shared" si="17"/>
        <v>886.92</v>
      </c>
      <c r="I37" s="16">
        <f t="shared" si="17"/>
        <v>913.1400000000001</v>
      </c>
      <c r="J37" s="16">
        <f t="shared" si="17"/>
        <v>939.3599999999999</v>
      </c>
      <c r="K37" s="16">
        <f t="shared" si="17"/>
        <v>965.58</v>
      </c>
      <c r="L37" s="16">
        <f t="shared" si="17"/>
        <v>991.42</v>
      </c>
      <c r="M37" s="16">
        <f t="shared" si="17"/>
        <v>1017.6400000000001</v>
      </c>
    </row>
    <row r="38" spans="1:13" x14ac:dyDescent="0.2">
      <c r="A38" s="12" t="s">
        <v>18</v>
      </c>
      <c r="B38" s="12"/>
      <c r="C38" s="15" t="s">
        <v>14</v>
      </c>
      <c r="D38" s="16">
        <f>IF(ROUND(D36*1.5,2)&lt;$G$122,ROUND(D36*1.5,2),IF($G$122&lt;D36,D36,$G$122))</f>
        <v>20.6</v>
      </c>
      <c r="E38" s="16">
        <f t="shared" ref="E38:M38" si="18">IF(ROUND(E36*1.5,2)&lt;$G$122,ROUND(E36*1.5,2),IF($G$122&lt;E36,E36,$G$122))</f>
        <v>21.29</v>
      </c>
      <c r="F38" s="16">
        <f t="shared" si="18"/>
        <v>21.98</v>
      </c>
      <c r="G38" s="16">
        <f t="shared" si="18"/>
        <v>22.65</v>
      </c>
      <c r="H38" s="16">
        <f t="shared" si="18"/>
        <v>23.34</v>
      </c>
      <c r="I38" s="16">
        <f t="shared" si="18"/>
        <v>24.03</v>
      </c>
      <c r="J38" s="16">
        <f t="shared" si="18"/>
        <v>24.72</v>
      </c>
      <c r="K38" s="16">
        <f t="shared" si="18"/>
        <v>25.41</v>
      </c>
      <c r="L38" s="16">
        <f t="shared" si="18"/>
        <v>26.09</v>
      </c>
      <c r="M38" s="16">
        <f t="shared" si="18"/>
        <v>26.78</v>
      </c>
    </row>
    <row r="39" spans="1:13" s="1" customFormat="1" x14ac:dyDescent="0.2">
      <c r="A39" s="51"/>
      <c r="B39" s="51"/>
      <c r="C39" s="28" t="s">
        <v>46</v>
      </c>
      <c r="D39" s="16">
        <f>ROUND(D36*'Start Page'!$F$48,2)*$B$13</f>
        <v>0</v>
      </c>
      <c r="E39" s="16">
        <f>ROUND(E36*'Start Page'!$F$48,2)*$B$13</f>
        <v>0</v>
      </c>
      <c r="F39" s="16">
        <f>ROUND(F36*'Start Page'!$F$48,2)*$B$13</f>
        <v>0</v>
      </c>
      <c r="G39" s="16">
        <f>ROUND(G36*'Start Page'!$F$48,2)*$B$13</f>
        <v>0</v>
      </c>
      <c r="H39" s="16">
        <f>ROUND(H36*'Start Page'!$F$48,2)*$B$13</f>
        <v>0</v>
      </c>
      <c r="I39" s="16">
        <f>ROUND(I36*'Start Page'!$F$48,2)*$B$13</f>
        <v>0</v>
      </c>
      <c r="J39" s="16">
        <f>ROUND(J36*'Start Page'!$F$48,2)*$B$13</f>
        <v>0</v>
      </c>
      <c r="K39" s="16">
        <f>ROUND(K36*'Start Page'!$F$48,2)*$B$13</f>
        <v>0</v>
      </c>
      <c r="L39" s="16">
        <f>ROUND(L36*'Start Page'!$F$48,2)*$B$13</f>
        <v>0</v>
      </c>
      <c r="M39" s="16">
        <f>ROUND(M36*'Start Page'!$F$48,2)*$B$13</f>
        <v>0</v>
      </c>
    </row>
    <row r="40" spans="1:13" x14ac:dyDescent="0.2">
      <c r="A40" s="12"/>
      <c r="B40" s="12">
        <f>B35+B37</f>
        <v>144</v>
      </c>
      <c r="C40" s="19" t="s">
        <v>17</v>
      </c>
      <c r="D40" s="20">
        <f t="shared" ref="D40:M40" si="19">D35+D37+D39</f>
        <v>2238.1800000000003</v>
      </c>
      <c r="E40" s="20">
        <f t="shared" si="19"/>
        <v>2313.16</v>
      </c>
      <c r="F40" s="20">
        <f t="shared" si="19"/>
        <v>2388.1400000000003</v>
      </c>
      <c r="G40" s="20">
        <f t="shared" si="19"/>
        <v>2461.2999999999997</v>
      </c>
      <c r="H40" s="20">
        <f t="shared" si="19"/>
        <v>2536.2800000000002</v>
      </c>
      <c r="I40" s="20">
        <f t="shared" si="19"/>
        <v>2611.2600000000002</v>
      </c>
      <c r="J40" s="20">
        <f t="shared" si="19"/>
        <v>2686.24</v>
      </c>
      <c r="K40" s="20">
        <f t="shared" si="19"/>
        <v>2761.2200000000003</v>
      </c>
      <c r="L40" s="20">
        <f t="shared" si="19"/>
        <v>2834.76</v>
      </c>
      <c r="M40" s="20">
        <f t="shared" si="19"/>
        <v>2909.7400000000002</v>
      </c>
    </row>
    <row r="41" spans="1:13" x14ac:dyDescent="0.2">
      <c r="A41" s="12"/>
      <c r="B41" s="12"/>
      <c r="C41" s="19" t="s">
        <v>33</v>
      </c>
      <c r="D41" s="20">
        <f>D40*'Start Page'!$C$65</f>
        <v>58192.680000000008</v>
      </c>
      <c r="E41" s="20">
        <f>E40*'Start Page'!$C$65</f>
        <v>60142.159999999996</v>
      </c>
      <c r="F41" s="20">
        <f>F40*'Start Page'!$C$65</f>
        <v>62091.640000000007</v>
      </c>
      <c r="G41" s="20">
        <f>G40*'Start Page'!$C$65</f>
        <v>63993.799999999996</v>
      </c>
      <c r="H41" s="20">
        <f>H40*'Start Page'!$C$65</f>
        <v>65943.28</v>
      </c>
      <c r="I41" s="20">
        <f>I40*'Start Page'!$C$65</f>
        <v>67892.760000000009</v>
      </c>
      <c r="J41" s="20">
        <f>J40*'Start Page'!$C$65</f>
        <v>69842.239999999991</v>
      </c>
      <c r="K41" s="20">
        <f>K40*'Start Page'!$C$65</f>
        <v>71791.72</v>
      </c>
      <c r="L41" s="20">
        <f>L40*'Start Page'!$C$65</f>
        <v>73703.760000000009</v>
      </c>
      <c r="M41" s="20">
        <f>M40*'Start Page'!$C$65</f>
        <v>75653.240000000005</v>
      </c>
    </row>
    <row r="42" spans="1:13" s="24" customFormat="1" x14ac:dyDescent="0.2">
      <c r="A42" s="21"/>
      <c r="B42" s="21"/>
      <c r="C42" s="22" t="s">
        <v>71</v>
      </c>
      <c r="D42" s="23">
        <f>D36*$B$13*'Start Page'!$C$65</f>
        <v>51405.120000000003</v>
      </c>
      <c r="E42" s="23">
        <f>E36*$B$13*'Start Page'!$C$65</f>
        <v>53127.360000000001</v>
      </c>
      <c r="F42" s="23">
        <f>F36*$B$13*'Start Page'!$C$65</f>
        <v>54849.599999999999</v>
      </c>
      <c r="G42" s="23">
        <f>G36*$B$13*'Start Page'!$C$65</f>
        <v>56534.400000000001</v>
      </c>
      <c r="H42" s="23">
        <f>H36*$B$13*'Start Page'!$C$65</f>
        <v>58256.639999999999</v>
      </c>
      <c r="I42" s="23">
        <f>I36*$B$13*'Start Page'!$C$65</f>
        <v>59978.880000000005</v>
      </c>
      <c r="J42" s="23">
        <f>J36*$B$13*'Start Page'!$C$65</f>
        <v>61701.119999999995</v>
      </c>
      <c r="K42" s="23">
        <f>K36*$B$13*'Start Page'!$C$65</f>
        <v>63423.360000000001</v>
      </c>
      <c r="L42" s="23">
        <f>L36*$B$13*'Start Page'!$C$65</f>
        <v>65108.159999999996</v>
      </c>
      <c r="M42" s="88">
        <f>M36*$B$13*'Start Page'!$C$65</f>
        <v>66830.400000000009</v>
      </c>
    </row>
    <row r="43" spans="1:13" x14ac:dyDescent="0.2">
      <c r="A43" s="12"/>
      <c r="B43" s="12"/>
      <c r="C43" s="13" t="s">
        <v>30</v>
      </c>
      <c r="D43" s="14">
        <f>'GS Pay Scale'!B13</f>
        <v>42053</v>
      </c>
      <c r="E43" s="14">
        <f>'GS Pay Scale'!C13</f>
        <v>43455</v>
      </c>
      <c r="F43" s="14">
        <f>'GS Pay Scale'!D13</f>
        <v>44857</v>
      </c>
      <c r="G43" s="14">
        <f>'GS Pay Scale'!E13</f>
        <v>46259</v>
      </c>
      <c r="H43" s="14">
        <f>'GS Pay Scale'!F13</f>
        <v>47661</v>
      </c>
      <c r="I43" s="14">
        <f>'GS Pay Scale'!G13</f>
        <v>49063</v>
      </c>
      <c r="J43" s="14">
        <f>'GS Pay Scale'!H13</f>
        <v>50465</v>
      </c>
      <c r="K43" s="14">
        <f>'GS Pay Scale'!I13</f>
        <v>51866</v>
      </c>
      <c r="L43" s="14">
        <f>'GS Pay Scale'!J13</f>
        <v>53268</v>
      </c>
      <c r="M43" s="14">
        <f>'GS Pay Scale'!K13</f>
        <v>54670</v>
      </c>
    </row>
    <row r="44" spans="1:13" x14ac:dyDescent="0.2">
      <c r="A44" s="12"/>
      <c r="B44" s="12">
        <v>106</v>
      </c>
      <c r="C44" s="15" t="s">
        <v>41</v>
      </c>
      <c r="D44" s="16">
        <f t="shared" ref="D44:M44" si="20">D45*106</f>
        <v>1617.56</v>
      </c>
      <c r="E44" s="16">
        <f t="shared" si="20"/>
        <v>1671.62</v>
      </c>
      <c r="F44" s="16">
        <f t="shared" si="20"/>
        <v>1725.68</v>
      </c>
      <c r="G44" s="16">
        <f t="shared" si="20"/>
        <v>1778.68</v>
      </c>
      <c r="H44" s="16">
        <f t="shared" si="20"/>
        <v>1832.74</v>
      </c>
      <c r="I44" s="16">
        <f t="shared" si="20"/>
        <v>1886.8000000000002</v>
      </c>
      <c r="J44" s="16">
        <f t="shared" si="20"/>
        <v>1940.86</v>
      </c>
      <c r="K44" s="16">
        <f t="shared" si="20"/>
        <v>1994.92</v>
      </c>
      <c r="L44" s="16">
        <f t="shared" si="20"/>
        <v>2048.98</v>
      </c>
      <c r="M44" s="16">
        <f t="shared" si="20"/>
        <v>2103.04</v>
      </c>
    </row>
    <row r="45" spans="1:13" x14ac:dyDescent="0.2">
      <c r="A45" s="12"/>
      <c r="B45" s="12"/>
      <c r="C45" s="15" t="s">
        <v>13</v>
      </c>
      <c r="D45" s="16">
        <f>ROUND(D43/2756,2)</f>
        <v>15.26</v>
      </c>
      <c r="E45" s="16">
        <f t="shared" ref="E45:M45" si="21">ROUND(E43/2756,2)</f>
        <v>15.77</v>
      </c>
      <c r="F45" s="16">
        <f t="shared" si="21"/>
        <v>16.28</v>
      </c>
      <c r="G45" s="16">
        <f t="shared" si="21"/>
        <v>16.78</v>
      </c>
      <c r="H45" s="16">
        <f t="shared" si="21"/>
        <v>17.29</v>
      </c>
      <c r="I45" s="16">
        <f t="shared" si="21"/>
        <v>17.8</v>
      </c>
      <c r="J45" s="16">
        <f t="shared" si="21"/>
        <v>18.309999999999999</v>
      </c>
      <c r="K45" s="16">
        <f t="shared" si="21"/>
        <v>18.82</v>
      </c>
      <c r="L45" s="16">
        <f t="shared" si="21"/>
        <v>19.329999999999998</v>
      </c>
      <c r="M45" s="16">
        <f t="shared" si="21"/>
        <v>19.84</v>
      </c>
    </row>
    <row r="46" spans="1:13" x14ac:dyDescent="0.2">
      <c r="A46" s="17"/>
      <c r="B46" s="18">
        <f>($G$3-53)*2</f>
        <v>38</v>
      </c>
      <c r="C46" s="15" t="s">
        <v>42</v>
      </c>
      <c r="D46" s="16">
        <f t="shared" ref="D46:M46" si="22">D47*$B$10</f>
        <v>869.82</v>
      </c>
      <c r="E46" s="16">
        <f t="shared" si="22"/>
        <v>899.08</v>
      </c>
      <c r="F46" s="16">
        <f t="shared" si="22"/>
        <v>927.96</v>
      </c>
      <c r="G46" s="16">
        <f t="shared" si="22"/>
        <v>956.46</v>
      </c>
      <c r="H46" s="16">
        <f t="shared" si="22"/>
        <v>985.72</v>
      </c>
      <c r="I46" s="16">
        <f t="shared" si="22"/>
        <v>1014.6</v>
      </c>
      <c r="J46" s="16">
        <f t="shared" si="22"/>
        <v>1043.8599999999999</v>
      </c>
      <c r="K46" s="16">
        <f t="shared" si="22"/>
        <v>1072.74</v>
      </c>
      <c r="L46" s="16">
        <f t="shared" si="22"/>
        <v>1102</v>
      </c>
      <c r="M46" s="16">
        <f t="shared" si="22"/>
        <v>1130.8800000000001</v>
      </c>
    </row>
    <row r="47" spans="1:13" x14ac:dyDescent="0.2">
      <c r="A47" s="12" t="s">
        <v>12</v>
      </c>
      <c r="B47" s="12"/>
      <c r="C47" s="15" t="s">
        <v>14</v>
      </c>
      <c r="D47" s="16">
        <f>IF(ROUND(D45*1.5,2)&lt;$G$122,ROUND(D45*1.5,2),IF($G$122&lt;D45,D45,$G$122))</f>
        <v>22.89</v>
      </c>
      <c r="E47" s="16">
        <f t="shared" ref="E47:M47" si="23">IF(ROUND(E45*1.5,2)&lt;$G$122,ROUND(E45*1.5,2),IF($G$122&lt;E45,E45,$G$122))</f>
        <v>23.66</v>
      </c>
      <c r="F47" s="16">
        <f t="shared" si="23"/>
        <v>24.42</v>
      </c>
      <c r="G47" s="16">
        <f t="shared" si="23"/>
        <v>25.17</v>
      </c>
      <c r="H47" s="16">
        <f t="shared" si="23"/>
        <v>25.94</v>
      </c>
      <c r="I47" s="16">
        <f t="shared" si="23"/>
        <v>26.7</v>
      </c>
      <c r="J47" s="16">
        <f t="shared" si="23"/>
        <v>27.47</v>
      </c>
      <c r="K47" s="16">
        <f t="shared" si="23"/>
        <v>28.23</v>
      </c>
      <c r="L47" s="16">
        <f t="shared" si="23"/>
        <v>29</v>
      </c>
      <c r="M47" s="16">
        <f t="shared" si="23"/>
        <v>29.76</v>
      </c>
    </row>
    <row r="48" spans="1:13" s="1" customFormat="1" x14ac:dyDescent="0.2">
      <c r="A48" s="51"/>
      <c r="B48" s="51"/>
      <c r="C48" s="28" t="s">
        <v>46</v>
      </c>
      <c r="D48" s="16">
        <f>ROUND(D45*'Start Page'!$F$48,2)*$B$13</f>
        <v>0</v>
      </c>
      <c r="E48" s="16">
        <f>ROUND(E45*'Start Page'!$F$48,2)*$B$13</f>
        <v>0</v>
      </c>
      <c r="F48" s="16">
        <f>ROUND(F45*'Start Page'!$F$48,2)*$B$13</f>
        <v>0</v>
      </c>
      <c r="G48" s="16">
        <f>ROUND(G45*'Start Page'!$F$48,2)*$B$13</f>
        <v>0</v>
      </c>
      <c r="H48" s="16">
        <f>ROUND(H45*'Start Page'!$F$48,2)*$B$13</f>
        <v>0</v>
      </c>
      <c r="I48" s="16">
        <f>ROUND(I45*'Start Page'!$F$48,2)*$B$13</f>
        <v>0</v>
      </c>
      <c r="J48" s="16">
        <f>ROUND(J45*'Start Page'!$F$48,2)*$B$13</f>
        <v>0</v>
      </c>
      <c r="K48" s="16">
        <f>ROUND(K45*'Start Page'!$F$48,2)*$B$13</f>
        <v>0</v>
      </c>
      <c r="L48" s="16">
        <f>ROUND(L45*'Start Page'!$F$48,2)*$B$13</f>
        <v>0</v>
      </c>
      <c r="M48" s="16">
        <f>ROUND(M45*'Start Page'!$F$48,2)*$B$13</f>
        <v>0</v>
      </c>
    </row>
    <row r="49" spans="1:13" x14ac:dyDescent="0.2">
      <c r="A49" s="12"/>
      <c r="B49" s="12">
        <f>B44+B46</f>
        <v>144</v>
      </c>
      <c r="C49" s="19" t="s">
        <v>17</v>
      </c>
      <c r="D49" s="20">
        <f t="shared" ref="D49:M49" si="24">D44+D46+D48</f>
        <v>2487.38</v>
      </c>
      <c r="E49" s="20">
        <f t="shared" si="24"/>
        <v>2570.6999999999998</v>
      </c>
      <c r="F49" s="20">
        <f t="shared" si="24"/>
        <v>2653.6400000000003</v>
      </c>
      <c r="G49" s="20">
        <f t="shared" si="24"/>
        <v>2735.1400000000003</v>
      </c>
      <c r="H49" s="20">
        <f t="shared" si="24"/>
        <v>2818.46</v>
      </c>
      <c r="I49" s="20">
        <f t="shared" si="24"/>
        <v>2901.4</v>
      </c>
      <c r="J49" s="20">
        <f t="shared" si="24"/>
        <v>2984.72</v>
      </c>
      <c r="K49" s="20">
        <f t="shared" si="24"/>
        <v>3067.66</v>
      </c>
      <c r="L49" s="20">
        <f t="shared" si="24"/>
        <v>3150.98</v>
      </c>
      <c r="M49" s="20">
        <f t="shared" si="24"/>
        <v>3233.92</v>
      </c>
    </row>
    <row r="50" spans="1:13" x14ac:dyDescent="0.2">
      <c r="A50" s="12"/>
      <c r="B50" s="12"/>
      <c r="C50" s="19" t="s">
        <v>33</v>
      </c>
      <c r="D50" s="20">
        <f>D49*'Start Page'!$C$65</f>
        <v>64671.880000000005</v>
      </c>
      <c r="E50" s="20">
        <f>E49*'Start Page'!$C$65</f>
        <v>66838.2</v>
      </c>
      <c r="F50" s="20">
        <f>F49*'Start Page'!$C$65</f>
        <v>68994.640000000014</v>
      </c>
      <c r="G50" s="20">
        <f>G49*'Start Page'!$C$65</f>
        <v>71113.640000000014</v>
      </c>
      <c r="H50" s="20">
        <f>H49*'Start Page'!$C$65</f>
        <v>73279.960000000006</v>
      </c>
      <c r="I50" s="20">
        <f>I49*'Start Page'!$C$65</f>
        <v>75436.400000000009</v>
      </c>
      <c r="J50" s="20">
        <f>J49*'Start Page'!$C$65</f>
        <v>77602.720000000001</v>
      </c>
      <c r="K50" s="20">
        <f>K49*'Start Page'!$C$65</f>
        <v>79759.16</v>
      </c>
      <c r="L50" s="20">
        <f>L49*'Start Page'!$C$65</f>
        <v>81925.48</v>
      </c>
      <c r="M50" s="20">
        <f>M49*'Start Page'!$C$65</f>
        <v>84081.919999999998</v>
      </c>
    </row>
    <row r="51" spans="1:13" s="24" customFormat="1" x14ac:dyDescent="0.2">
      <c r="A51" s="21"/>
      <c r="B51" s="21"/>
      <c r="C51" s="22" t="s">
        <v>71</v>
      </c>
      <c r="D51" s="23">
        <f>D45*$B$13*'Start Page'!$C$65</f>
        <v>57133.440000000002</v>
      </c>
      <c r="E51" s="23">
        <f>E45*$B$13*'Start Page'!$C$65</f>
        <v>59042.880000000005</v>
      </c>
      <c r="F51" s="23">
        <f>F45*$B$13*'Start Page'!$C$65</f>
        <v>60952.320000000007</v>
      </c>
      <c r="G51" s="23">
        <f>G45*$B$13*'Start Page'!$C$65</f>
        <v>62824.320000000007</v>
      </c>
      <c r="H51" s="23">
        <f>H45*$B$13*'Start Page'!$C$65</f>
        <v>64733.759999999995</v>
      </c>
      <c r="I51" s="23">
        <f>I45*$B$13*'Start Page'!$C$65</f>
        <v>66643.200000000012</v>
      </c>
      <c r="J51" s="23">
        <f>J45*$B$13*'Start Page'!$C$65</f>
        <v>68552.639999999999</v>
      </c>
      <c r="K51" s="23">
        <f>K45*$B$13*'Start Page'!$C$65</f>
        <v>70462.080000000002</v>
      </c>
      <c r="L51" s="23">
        <f>L45*$B$13*'Start Page'!$C$65</f>
        <v>72371.51999999999</v>
      </c>
      <c r="M51" s="88">
        <f>M45*$B$13*'Start Page'!$C$65</f>
        <v>74280.960000000006</v>
      </c>
    </row>
    <row r="52" spans="1:13" x14ac:dyDescent="0.2">
      <c r="A52" s="12"/>
      <c r="B52" s="12"/>
      <c r="C52" s="13" t="s">
        <v>30</v>
      </c>
      <c r="D52" s="14">
        <f>'GS Pay Scale'!B14</f>
        <v>46572</v>
      </c>
      <c r="E52" s="14">
        <f>'GS Pay Scale'!C14</f>
        <v>48125</v>
      </c>
      <c r="F52" s="14">
        <f>'GS Pay Scale'!D14</f>
        <v>49677</v>
      </c>
      <c r="G52" s="14">
        <f>'GS Pay Scale'!E14</f>
        <v>51229</v>
      </c>
      <c r="H52" s="14">
        <f>'GS Pay Scale'!F14</f>
        <v>52781</v>
      </c>
      <c r="I52" s="14">
        <f>'GS Pay Scale'!G14</f>
        <v>54334</v>
      </c>
      <c r="J52" s="14">
        <f>'GS Pay Scale'!H14</f>
        <v>55886</v>
      </c>
      <c r="K52" s="14">
        <f>'GS Pay Scale'!I14</f>
        <v>57438</v>
      </c>
      <c r="L52" s="14">
        <f>'GS Pay Scale'!J14</f>
        <v>58991</v>
      </c>
      <c r="M52" s="14">
        <f>'GS Pay Scale'!K14</f>
        <v>60543</v>
      </c>
    </row>
    <row r="53" spans="1:13" x14ac:dyDescent="0.2">
      <c r="A53" s="12"/>
      <c r="B53" s="12">
        <v>106</v>
      </c>
      <c r="C53" s="15" t="s">
        <v>41</v>
      </c>
      <c r="D53" s="16">
        <f t="shared" ref="D53:M53" si="25">D54*106</f>
        <v>1791.3999999999999</v>
      </c>
      <c r="E53" s="16">
        <f t="shared" si="25"/>
        <v>1850.76</v>
      </c>
      <c r="F53" s="16">
        <f t="shared" si="25"/>
        <v>1911.18</v>
      </c>
      <c r="G53" s="16">
        <f t="shared" si="25"/>
        <v>1970.54</v>
      </c>
      <c r="H53" s="16">
        <f t="shared" si="25"/>
        <v>2029.8999999999999</v>
      </c>
      <c r="I53" s="16">
        <f t="shared" si="25"/>
        <v>2089.2600000000002</v>
      </c>
      <c r="J53" s="16">
        <f t="shared" si="25"/>
        <v>2149.6800000000003</v>
      </c>
      <c r="K53" s="16">
        <f t="shared" si="25"/>
        <v>2209.04</v>
      </c>
      <c r="L53" s="16">
        <f t="shared" si="25"/>
        <v>2268.3999999999996</v>
      </c>
      <c r="M53" s="16">
        <f t="shared" si="25"/>
        <v>2328.8199999999997</v>
      </c>
    </row>
    <row r="54" spans="1:13" x14ac:dyDescent="0.2">
      <c r="A54" s="12"/>
      <c r="B54" s="12"/>
      <c r="C54" s="15" t="s">
        <v>13</v>
      </c>
      <c r="D54" s="16">
        <f>ROUND(D52/2756,2)</f>
        <v>16.899999999999999</v>
      </c>
      <c r="E54" s="16">
        <f t="shared" ref="E54:M54" si="26">ROUND(E52/2756,2)</f>
        <v>17.46</v>
      </c>
      <c r="F54" s="16">
        <f t="shared" si="26"/>
        <v>18.03</v>
      </c>
      <c r="G54" s="16">
        <f t="shared" si="26"/>
        <v>18.59</v>
      </c>
      <c r="H54" s="16">
        <f t="shared" si="26"/>
        <v>19.149999999999999</v>
      </c>
      <c r="I54" s="16">
        <f t="shared" si="26"/>
        <v>19.71</v>
      </c>
      <c r="J54" s="16">
        <f t="shared" si="26"/>
        <v>20.28</v>
      </c>
      <c r="K54" s="16">
        <f t="shared" si="26"/>
        <v>20.84</v>
      </c>
      <c r="L54" s="16">
        <f t="shared" si="26"/>
        <v>21.4</v>
      </c>
      <c r="M54" s="16">
        <f t="shared" si="26"/>
        <v>21.97</v>
      </c>
    </row>
    <row r="55" spans="1:13" x14ac:dyDescent="0.2">
      <c r="A55" s="17"/>
      <c r="B55" s="18">
        <f>($G$3-53)*2</f>
        <v>38</v>
      </c>
      <c r="C55" s="15" t="s">
        <v>42</v>
      </c>
      <c r="D55" s="16">
        <f t="shared" ref="D55:M55" si="27">D56*$B$10</f>
        <v>963.30000000000007</v>
      </c>
      <c r="E55" s="16">
        <f t="shared" si="27"/>
        <v>995.22</v>
      </c>
      <c r="F55" s="16">
        <f t="shared" si="27"/>
        <v>1027.9000000000001</v>
      </c>
      <c r="G55" s="16">
        <f t="shared" si="27"/>
        <v>1059.82</v>
      </c>
      <c r="H55" s="16">
        <f t="shared" si="27"/>
        <v>1091.74</v>
      </c>
      <c r="I55" s="16">
        <f t="shared" si="27"/>
        <v>1123.6600000000001</v>
      </c>
      <c r="J55" s="16">
        <f t="shared" si="27"/>
        <v>1155.96</v>
      </c>
      <c r="K55" s="16">
        <f t="shared" si="27"/>
        <v>1187.8800000000001</v>
      </c>
      <c r="L55" s="16">
        <f t="shared" si="27"/>
        <v>1219.8</v>
      </c>
      <c r="M55" s="16">
        <f t="shared" si="27"/>
        <v>1252.48</v>
      </c>
    </row>
    <row r="56" spans="1:13" x14ac:dyDescent="0.2">
      <c r="A56" s="12" t="s">
        <v>15</v>
      </c>
      <c r="B56" s="12"/>
      <c r="C56" s="15" t="s">
        <v>14</v>
      </c>
      <c r="D56" s="16">
        <f>IF(ROUND(D54*1.5,2)&lt;$G$122,ROUND(D54*1.5,2),IF($G$122&lt;D54,D54,$G$122))</f>
        <v>25.35</v>
      </c>
      <c r="E56" s="16">
        <f t="shared" ref="E56:M56" si="28">IF(ROUND(E54*1.5,2)&lt;$G$122,ROUND(E54*1.5,2),IF($G$122&lt;E54,E54,$G$122))</f>
        <v>26.19</v>
      </c>
      <c r="F56" s="16">
        <f t="shared" si="28"/>
        <v>27.05</v>
      </c>
      <c r="G56" s="16">
        <f t="shared" si="28"/>
        <v>27.89</v>
      </c>
      <c r="H56" s="16">
        <f t="shared" si="28"/>
        <v>28.73</v>
      </c>
      <c r="I56" s="16">
        <f t="shared" si="28"/>
        <v>29.57</v>
      </c>
      <c r="J56" s="16">
        <f t="shared" si="28"/>
        <v>30.42</v>
      </c>
      <c r="K56" s="16">
        <f t="shared" si="28"/>
        <v>31.26</v>
      </c>
      <c r="L56" s="16">
        <f t="shared" si="28"/>
        <v>32.1</v>
      </c>
      <c r="M56" s="16">
        <f t="shared" si="28"/>
        <v>32.96</v>
      </c>
    </row>
    <row r="57" spans="1:13" s="1" customFormat="1" x14ac:dyDescent="0.2">
      <c r="A57" s="51"/>
      <c r="B57" s="51"/>
      <c r="C57" s="28" t="s">
        <v>46</v>
      </c>
      <c r="D57" s="16">
        <f>ROUND(D54*'Start Page'!$F$48,2)*$B$13</f>
        <v>0</v>
      </c>
      <c r="E57" s="16">
        <f>ROUND(E54*'Start Page'!$F$48,2)*$B$13</f>
        <v>0</v>
      </c>
      <c r="F57" s="16">
        <f>ROUND(F54*'Start Page'!$F$48,2)*$B$13</f>
        <v>0</v>
      </c>
      <c r="G57" s="16">
        <f>ROUND(G54*'Start Page'!$F$48,2)*$B$13</f>
        <v>0</v>
      </c>
      <c r="H57" s="16">
        <f>ROUND(H54*'Start Page'!$F$48,2)*$B$13</f>
        <v>0</v>
      </c>
      <c r="I57" s="16">
        <f>ROUND(I54*'Start Page'!$F$48,2)*$B$13</f>
        <v>0</v>
      </c>
      <c r="J57" s="16">
        <f>ROUND(J54*'Start Page'!$F$48,2)*$B$13</f>
        <v>0</v>
      </c>
      <c r="K57" s="16">
        <f>ROUND(K54*'Start Page'!$F$48,2)*$B$13</f>
        <v>0</v>
      </c>
      <c r="L57" s="16">
        <f>ROUND(L54*'Start Page'!$F$48,2)*$B$13</f>
        <v>0</v>
      </c>
      <c r="M57" s="16">
        <f>ROUND(M54*'Start Page'!$F$48,2)*$B$13</f>
        <v>0</v>
      </c>
    </row>
    <row r="58" spans="1:13" x14ac:dyDescent="0.2">
      <c r="A58" s="12"/>
      <c r="B58" s="12">
        <f>B53+B55</f>
        <v>144</v>
      </c>
      <c r="C58" s="19" t="s">
        <v>17</v>
      </c>
      <c r="D58" s="20">
        <f t="shared" ref="D58:M58" si="29">D53+D55+D57</f>
        <v>2754.7</v>
      </c>
      <c r="E58" s="20">
        <f t="shared" si="29"/>
        <v>2845.98</v>
      </c>
      <c r="F58" s="20">
        <f t="shared" si="29"/>
        <v>2939.08</v>
      </c>
      <c r="G58" s="20">
        <f t="shared" si="29"/>
        <v>3030.3599999999997</v>
      </c>
      <c r="H58" s="20">
        <f t="shared" si="29"/>
        <v>3121.64</v>
      </c>
      <c r="I58" s="20">
        <f t="shared" si="29"/>
        <v>3212.92</v>
      </c>
      <c r="J58" s="20">
        <f t="shared" si="29"/>
        <v>3305.6400000000003</v>
      </c>
      <c r="K58" s="20">
        <f t="shared" si="29"/>
        <v>3396.92</v>
      </c>
      <c r="L58" s="20">
        <f t="shared" si="29"/>
        <v>3488.2</v>
      </c>
      <c r="M58" s="20">
        <f t="shared" si="29"/>
        <v>3581.2999999999997</v>
      </c>
    </row>
    <row r="59" spans="1:13" x14ac:dyDescent="0.2">
      <c r="A59" s="12"/>
      <c r="B59" s="12"/>
      <c r="C59" s="19" t="s">
        <v>33</v>
      </c>
      <c r="D59" s="20">
        <f>D58*'Start Page'!$C$65</f>
        <v>71622.2</v>
      </c>
      <c r="E59" s="20">
        <f>E58*'Start Page'!$C$65</f>
        <v>73995.48</v>
      </c>
      <c r="F59" s="20">
        <f>F58*'Start Page'!$C$65</f>
        <v>76416.08</v>
      </c>
      <c r="G59" s="20">
        <f>G58*'Start Page'!$C$65</f>
        <v>78789.359999999986</v>
      </c>
      <c r="H59" s="20">
        <f>H58*'Start Page'!$C$65</f>
        <v>81162.64</v>
      </c>
      <c r="I59" s="20">
        <f>I58*'Start Page'!$C$65</f>
        <v>83535.92</v>
      </c>
      <c r="J59" s="20">
        <f>J58*'Start Page'!$C$65</f>
        <v>85946.640000000014</v>
      </c>
      <c r="K59" s="20">
        <f>K58*'Start Page'!$C$65</f>
        <v>88319.92</v>
      </c>
      <c r="L59" s="20">
        <f>L58*'Start Page'!$C$65</f>
        <v>90693.2</v>
      </c>
      <c r="M59" s="20">
        <f>M58*'Start Page'!$C$65</f>
        <v>93113.799999999988</v>
      </c>
    </row>
    <row r="60" spans="1:13" s="24" customFormat="1" x14ac:dyDescent="0.2">
      <c r="A60" s="21"/>
      <c r="B60" s="21"/>
      <c r="C60" s="22" t="s">
        <v>71</v>
      </c>
      <c r="D60" s="23">
        <f>D54*$B$13*'Start Page'!$C$65</f>
        <v>63273.599999999999</v>
      </c>
      <c r="E60" s="23">
        <f>E54*$B$13*'Start Page'!$C$65</f>
        <v>65370.240000000005</v>
      </c>
      <c r="F60" s="23">
        <f>F54*$B$13*'Start Page'!$C$65</f>
        <v>67504.320000000007</v>
      </c>
      <c r="G60" s="23">
        <f>G54*$B$13*'Start Page'!$C$65</f>
        <v>69600.960000000006</v>
      </c>
      <c r="H60" s="23">
        <f>H54*$B$13*'Start Page'!$C$65</f>
        <v>71697.599999999991</v>
      </c>
      <c r="I60" s="23">
        <f>I54*$B$13*'Start Page'!$C$65</f>
        <v>73794.240000000005</v>
      </c>
      <c r="J60" s="23">
        <f>J54*$B$13*'Start Page'!$C$65</f>
        <v>75928.320000000007</v>
      </c>
      <c r="K60" s="23">
        <f>K54*$B$13*'Start Page'!$C$65</f>
        <v>78024.960000000006</v>
      </c>
      <c r="L60" s="23">
        <f>L54*$B$13*'Start Page'!$C$65</f>
        <v>80121.599999999991</v>
      </c>
      <c r="M60" s="88">
        <f>M54*$B$13*'Start Page'!$C$65</f>
        <v>82255.679999999993</v>
      </c>
    </row>
    <row r="61" spans="1:13" x14ac:dyDescent="0.2">
      <c r="A61" s="11" t="s">
        <v>0</v>
      </c>
      <c r="B61" s="11" t="s">
        <v>43</v>
      </c>
      <c r="C61" s="11" t="s">
        <v>1</v>
      </c>
      <c r="D61" s="11" t="s">
        <v>2</v>
      </c>
      <c r="E61" s="11" t="s">
        <v>3</v>
      </c>
      <c r="F61" s="11" t="s">
        <v>4</v>
      </c>
      <c r="G61" s="11" t="s">
        <v>5</v>
      </c>
      <c r="H61" s="11" t="s">
        <v>6</v>
      </c>
      <c r="I61" s="11" t="s">
        <v>7</v>
      </c>
      <c r="J61" s="11" t="s">
        <v>8</v>
      </c>
      <c r="K61" s="11" t="s">
        <v>9</v>
      </c>
      <c r="L61" s="11" t="s">
        <v>10</v>
      </c>
      <c r="M61" s="11" t="s">
        <v>11</v>
      </c>
    </row>
    <row r="62" spans="1:13" x14ac:dyDescent="0.2">
      <c r="A62" s="25"/>
      <c r="B62" s="12"/>
      <c r="C62" s="13" t="s">
        <v>30</v>
      </c>
      <c r="D62" s="14">
        <f>'GS Pay Scale'!B15</f>
        <v>51440</v>
      </c>
      <c r="E62" s="14">
        <f>'GS Pay Scale'!C15</f>
        <v>53154</v>
      </c>
      <c r="F62" s="14">
        <f>'GS Pay Scale'!D15</f>
        <v>54868</v>
      </c>
      <c r="G62" s="14">
        <f>'GS Pay Scale'!E15</f>
        <v>56582</v>
      </c>
      <c r="H62" s="14">
        <f>'GS Pay Scale'!F15</f>
        <v>58297</v>
      </c>
      <c r="I62" s="14">
        <f>'GS Pay Scale'!G15</f>
        <v>60011</v>
      </c>
      <c r="J62" s="14">
        <f>'GS Pay Scale'!H15</f>
        <v>61725</v>
      </c>
      <c r="K62" s="14">
        <f>'GS Pay Scale'!I15</f>
        <v>63439</v>
      </c>
      <c r="L62" s="14">
        <f>'GS Pay Scale'!J15</f>
        <v>65153</v>
      </c>
      <c r="M62" s="14">
        <f>'GS Pay Scale'!K15</f>
        <v>66868</v>
      </c>
    </row>
    <row r="63" spans="1:13" x14ac:dyDescent="0.2">
      <c r="A63" s="12"/>
      <c r="B63" s="12">
        <v>106</v>
      </c>
      <c r="C63" s="15" t="s">
        <v>41</v>
      </c>
      <c r="D63" s="16">
        <f t="shared" ref="D63:M63" si="30">D64*106</f>
        <v>1977.96</v>
      </c>
      <c r="E63" s="16">
        <f t="shared" si="30"/>
        <v>2044.74</v>
      </c>
      <c r="F63" s="16">
        <f t="shared" si="30"/>
        <v>2110.46</v>
      </c>
      <c r="G63" s="16">
        <f t="shared" si="30"/>
        <v>2176.1800000000003</v>
      </c>
      <c r="H63" s="16">
        <f t="shared" si="30"/>
        <v>2241.8999999999996</v>
      </c>
      <c r="I63" s="16">
        <f t="shared" si="30"/>
        <v>2307.62</v>
      </c>
      <c r="J63" s="16">
        <f t="shared" si="30"/>
        <v>2374.3999999999996</v>
      </c>
      <c r="K63" s="16">
        <f t="shared" si="30"/>
        <v>2440.12</v>
      </c>
      <c r="L63" s="16">
        <f t="shared" si="30"/>
        <v>2505.84</v>
      </c>
      <c r="M63" s="16">
        <f t="shared" si="30"/>
        <v>2571.56</v>
      </c>
    </row>
    <row r="64" spans="1:13" x14ac:dyDescent="0.2">
      <c r="A64" s="12"/>
      <c r="B64" s="12"/>
      <c r="C64" s="15" t="s">
        <v>13</v>
      </c>
      <c r="D64" s="16">
        <f>ROUND(D62/2756,2)</f>
        <v>18.66</v>
      </c>
      <c r="E64" s="16">
        <f t="shared" ref="E64:M64" si="31">ROUND(E62/2756,2)</f>
        <v>19.29</v>
      </c>
      <c r="F64" s="16">
        <f t="shared" si="31"/>
        <v>19.91</v>
      </c>
      <c r="G64" s="16">
        <f t="shared" si="31"/>
        <v>20.53</v>
      </c>
      <c r="H64" s="16">
        <f t="shared" si="31"/>
        <v>21.15</v>
      </c>
      <c r="I64" s="16">
        <f t="shared" si="31"/>
        <v>21.77</v>
      </c>
      <c r="J64" s="16">
        <f t="shared" si="31"/>
        <v>22.4</v>
      </c>
      <c r="K64" s="16">
        <f t="shared" si="31"/>
        <v>23.02</v>
      </c>
      <c r="L64" s="16">
        <f t="shared" si="31"/>
        <v>23.64</v>
      </c>
      <c r="M64" s="16">
        <f t="shared" si="31"/>
        <v>24.26</v>
      </c>
    </row>
    <row r="65" spans="1:13" x14ac:dyDescent="0.2">
      <c r="A65" s="17"/>
      <c r="B65" s="18">
        <f>($G$3-53)*2</f>
        <v>38</v>
      </c>
      <c r="C65" s="15" t="s">
        <v>42</v>
      </c>
      <c r="D65" s="16">
        <f t="shared" ref="D65:M65" si="32">D66*$B$10</f>
        <v>1063.6199999999999</v>
      </c>
      <c r="E65" s="16">
        <f t="shared" si="32"/>
        <v>1099.72</v>
      </c>
      <c r="F65" s="16">
        <f t="shared" si="32"/>
        <v>1135.06</v>
      </c>
      <c r="G65" s="16">
        <f t="shared" si="32"/>
        <v>1170.4000000000001</v>
      </c>
      <c r="H65" s="16">
        <f t="shared" si="32"/>
        <v>1205.74</v>
      </c>
      <c r="I65" s="16">
        <f t="shared" si="32"/>
        <v>1241.08</v>
      </c>
      <c r="J65" s="16">
        <f t="shared" si="32"/>
        <v>1276.8</v>
      </c>
      <c r="K65" s="16">
        <f t="shared" si="32"/>
        <v>1312.14</v>
      </c>
      <c r="L65" s="16">
        <f t="shared" si="32"/>
        <v>1347.48</v>
      </c>
      <c r="M65" s="16">
        <f t="shared" si="32"/>
        <v>1382.82</v>
      </c>
    </row>
    <row r="66" spans="1:13" x14ac:dyDescent="0.2">
      <c r="A66" s="12" t="s">
        <v>21</v>
      </c>
      <c r="B66" s="12"/>
      <c r="C66" s="15" t="s">
        <v>14</v>
      </c>
      <c r="D66" s="16">
        <f>IF(ROUND(D64*1.5,2)&lt;$G$122,ROUND(D64*1.5,2),IF($G$122&lt;D64,D64,$G$122))</f>
        <v>27.99</v>
      </c>
      <c r="E66" s="16">
        <f t="shared" ref="E66:M66" si="33">IF(ROUND(E64*1.5,2)&lt;$G$122,ROUND(E64*1.5,2),IF($G$122&lt;E64,E64,$G$122))</f>
        <v>28.94</v>
      </c>
      <c r="F66" s="16">
        <f t="shared" si="33"/>
        <v>29.87</v>
      </c>
      <c r="G66" s="16">
        <f t="shared" si="33"/>
        <v>30.8</v>
      </c>
      <c r="H66" s="16">
        <f t="shared" si="33"/>
        <v>31.73</v>
      </c>
      <c r="I66" s="16">
        <f t="shared" si="33"/>
        <v>32.659999999999997</v>
      </c>
      <c r="J66" s="16">
        <f t="shared" si="33"/>
        <v>33.6</v>
      </c>
      <c r="K66" s="16">
        <f t="shared" si="33"/>
        <v>34.53</v>
      </c>
      <c r="L66" s="16">
        <f t="shared" si="33"/>
        <v>35.46</v>
      </c>
      <c r="M66" s="16">
        <f t="shared" si="33"/>
        <v>36.39</v>
      </c>
    </row>
    <row r="67" spans="1:13" s="1" customFormat="1" x14ac:dyDescent="0.2">
      <c r="A67" s="51"/>
      <c r="B67" s="51"/>
      <c r="C67" s="28" t="s">
        <v>46</v>
      </c>
      <c r="D67" s="16">
        <f>ROUND(D64*'Start Page'!$F$48,2)*$B$13</f>
        <v>0</v>
      </c>
      <c r="E67" s="16">
        <f>ROUND(E64*'Start Page'!$F$48,2)*$B$13</f>
        <v>0</v>
      </c>
      <c r="F67" s="16">
        <f>ROUND(F64*'Start Page'!$F$48,2)*$B$13</f>
        <v>0</v>
      </c>
      <c r="G67" s="16">
        <f>ROUND(G64*'Start Page'!$F$48,2)*$B$13</f>
        <v>0</v>
      </c>
      <c r="H67" s="16">
        <f>ROUND(H64*'Start Page'!$F$48,2)*$B$13</f>
        <v>0</v>
      </c>
      <c r="I67" s="16">
        <f>ROUND(I64*'Start Page'!$F$48,2)*$B$13</f>
        <v>0</v>
      </c>
      <c r="J67" s="16">
        <f>ROUND(J64*'Start Page'!$F$48,2)*$B$13</f>
        <v>0</v>
      </c>
      <c r="K67" s="16">
        <f>ROUND(K64*'Start Page'!$F$48,2)*$B$13</f>
        <v>0</v>
      </c>
      <c r="L67" s="16">
        <f>ROUND(L64*'Start Page'!$F$48,2)*$B$13</f>
        <v>0</v>
      </c>
      <c r="M67" s="16">
        <f>ROUND(M64*'Start Page'!$F$48,2)*$B$13</f>
        <v>0</v>
      </c>
    </row>
    <row r="68" spans="1:13" x14ac:dyDescent="0.2">
      <c r="A68" s="12"/>
      <c r="B68" s="12">
        <f>B63+B65</f>
        <v>144</v>
      </c>
      <c r="C68" s="19" t="s">
        <v>17</v>
      </c>
      <c r="D68" s="20">
        <f t="shared" ref="D68:M68" si="34">D63+D65+D67</f>
        <v>3041.58</v>
      </c>
      <c r="E68" s="20">
        <f t="shared" si="34"/>
        <v>3144.46</v>
      </c>
      <c r="F68" s="20">
        <f t="shared" si="34"/>
        <v>3245.52</v>
      </c>
      <c r="G68" s="20">
        <f t="shared" si="34"/>
        <v>3346.5800000000004</v>
      </c>
      <c r="H68" s="20">
        <f t="shared" si="34"/>
        <v>3447.6399999999994</v>
      </c>
      <c r="I68" s="20">
        <f t="shared" si="34"/>
        <v>3548.7</v>
      </c>
      <c r="J68" s="20">
        <f t="shared" si="34"/>
        <v>3651.2</v>
      </c>
      <c r="K68" s="20">
        <f t="shared" si="34"/>
        <v>3752.26</v>
      </c>
      <c r="L68" s="20">
        <f t="shared" si="34"/>
        <v>3853.32</v>
      </c>
      <c r="M68" s="20">
        <f t="shared" si="34"/>
        <v>3954.38</v>
      </c>
    </row>
    <row r="69" spans="1:13" x14ac:dyDescent="0.2">
      <c r="A69" s="12"/>
      <c r="B69" s="12"/>
      <c r="C69" s="19" t="s">
        <v>33</v>
      </c>
      <c r="D69" s="20">
        <f>D68*'Start Page'!$C$65</f>
        <v>79081.08</v>
      </c>
      <c r="E69" s="20">
        <f>E68*'Start Page'!$C$65</f>
        <v>81755.960000000006</v>
      </c>
      <c r="F69" s="20">
        <f>F68*'Start Page'!$C$65</f>
        <v>84383.52</v>
      </c>
      <c r="G69" s="20">
        <f>G68*'Start Page'!$C$65</f>
        <v>87011.080000000016</v>
      </c>
      <c r="H69" s="20">
        <f>H68*'Start Page'!$C$65</f>
        <v>89638.639999999985</v>
      </c>
      <c r="I69" s="20">
        <f>I68*'Start Page'!$C$65</f>
        <v>92266.2</v>
      </c>
      <c r="J69" s="20">
        <f>J68*'Start Page'!$C$65</f>
        <v>94931.199999999997</v>
      </c>
      <c r="K69" s="20">
        <f>K68*'Start Page'!$C$65</f>
        <v>97558.760000000009</v>
      </c>
      <c r="L69" s="20">
        <f>L68*'Start Page'!$C$65</f>
        <v>100186.32</v>
      </c>
      <c r="M69" s="20">
        <f>M68*'Start Page'!$C$65</f>
        <v>102813.88</v>
      </c>
    </row>
    <row r="70" spans="1:13" s="24" customFormat="1" x14ac:dyDescent="0.2">
      <c r="A70" s="21"/>
      <c r="B70" s="21"/>
      <c r="C70" s="22" t="s">
        <v>71</v>
      </c>
      <c r="D70" s="23">
        <f>D64*$B$13*'Start Page'!$C$65</f>
        <v>69863.039999999994</v>
      </c>
      <c r="E70" s="23">
        <f>E64*$B$13*'Start Page'!$C$65</f>
        <v>72221.759999999995</v>
      </c>
      <c r="F70" s="23">
        <f>F64*$B$13*'Start Page'!$C$65</f>
        <v>74543.039999999994</v>
      </c>
      <c r="G70" s="23">
        <f>G64*$B$13*'Start Page'!$C$65</f>
        <v>76864.320000000007</v>
      </c>
      <c r="H70" s="23">
        <f>H64*$B$13*'Start Page'!$C$65</f>
        <v>79185.599999999991</v>
      </c>
      <c r="I70" s="23">
        <f>I64*$B$13*'Start Page'!$C$65</f>
        <v>81506.880000000005</v>
      </c>
      <c r="J70" s="23">
        <f>J64*$B$13*'Start Page'!$C$65</f>
        <v>83865.599999999991</v>
      </c>
      <c r="K70" s="23">
        <f>K64*$B$13*'Start Page'!$C$65</f>
        <v>86186.880000000005</v>
      </c>
      <c r="L70" s="23">
        <f>L64*$B$13*'Start Page'!$C$65</f>
        <v>88508.160000000003</v>
      </c>
      <c r="M70" s="88">
        <f>M64*$B$13*'Start Page'!$C$65</f>
        <v>90829.440000000002</v>
      </c>
    </row>
    <row r="71" spans="1:13" x14ac:dyDescent="0.2">
      <c r="A71" s="12"/>
      <c r="B71" s="12"/>
      <c r="C71" s="13" t="s">
        <v>30</v>
      </c>
      <c r="D71" s="14">
        <f>'GS Pay Scale'!B16</f>
        <v>56647</v>
      </c>
      <c r="E71" s="14">
        <f>'GS Pay Scale'!C16</f>
        <v>58535</v>
      </c>
      <c r="F71" s="14">
        <f>'GS Pay Scale'!D16</f>
        <v>60423</v>
      </c>
      <c r="G71" s="14">
        <f>'GS Pay Scale'!E16</f>
        <v>62310</v>
      </c>
      <c r="H71" s="14">
        <f>'GS Pay Scale'!F16</f>
        <v>64198</v>
      </c>
      <c r="I71" s="14">
        <f>'GS Pay Scale'!G16</f>
        <v>66086</v>
      </c>
      <c r="J71" s="14">
        <f>'GS Pay Scale'!H16</f>
        <v>67973</v>
      </c>
      <c r="K71" s="14">
        <f>'GS Pay Scale'!I16</f>
        <v>69861</v>
      </c>
      <c r="L71" s="14">
        <f>'GS Pay Scale'!J16</f>
        <v>71749</v>
      </c>
      <c r="M71" s="14">
        <f>'GS Pay Scale'!K16</f>
        <v>73637</v>
      </c>
    </row>
    <row r="72" spans="1:13" x14ac:dyDescent="0.2">
      <c r="A72" s="12"/>
      <c r="B72" s="12">
        <v>106</v>
      </c>
      <c r="C72" s="15" t="s">
        <v>41</v>
      </c>
      <c r="D72" s="16">
        <f t="shared" ref="D72:M72" si="35">D73*106</f>
        <v>2178.3000000000002</v>
      </c>
      <c r="E72" s="16">
        <f t="shared" si="35"/>
        <v>2251.44</v>
      </c>
      <c r="F72" s="16">
        <f t="shared" si="35"/>
        <v>2323.52</v>
      </c>
      <c r="G72" s="16">
        <f t="shared" si="35"/>
        <v>2396.66</v>
      </c>
      <c r="H72" s="16">
        <f t="shared" si="35"/>
        <v>2468.7399999999998</v>
      </c>
      <c r="I72" s="16">
        <f t="shared" si="35"/>
        <v>2541.88</v>
      </c>
      <c r="J72" s="16">
        <f t="shared" si="35"/>
        <v>2613.96</v>
      </c>
      <c r="K72" s="16">
        <f t="shared" si="35"/>
        <v>2687.1000000000004</v>
      </c>
      <c r="L72" s="16">
        <f t="shared" si="35"/>
        <v>2759.1800000000003</v>
      </c>
      <c r="M72" s="16">
        <f t="shared" si="35"/>
        <v>2832.3199999999997</v>
      </c>
    </row>
    <row r="73" spans="1:13" x14ac:dyDescent="0.2">
      <c r="A73" s="12"/>
      <c r="B73" s="12"/>
      <c r="C73" s="15" t="s">
        <v>13</v>
      </c>
      <c r="D73" s="16">
        <f t="shared" ref="D73:M73" si="36">ROUND(D71/2756,2)</f>
        <v>20.55</v>
      </c>
      <c r="E73" s="16">
        <f t="shared" si="36"/>
        <v>21.24</v>
      </c>
      <c r="F73" s="16">
        <f t="shared" si="36"/>
        <v>21.92</v>
      </c>
      <c r="G73" s="16">
        <f t="shared" si="36"/>
        <v>22.61</v>
      </c>
      <c r="H73" s="16">
        <f t="shared" si="36"/>
        <v>23.29</v>
      </c>
      <c r="I73" s="16">
        <f t="shared" si="36"/>
        <v>23.98</v>
      </c>
      <c r="J73" s="16">
        <f t="shared" si="36"/>
        <v>24.66</v>
      </c>
      <c r="K73" s="16">
        <f t="shared" si="36"/>
        <v>25.35</v>
      </c>
      <c r="L73" s="16">
        <f t="shared" si="36"/>
        <v>26.03</v>
      </c>
      <c r="M73" s="16">
        <f t="shared" si="36"/>
        <v>26.72</v>
      </c>
    </row>
    <row r="74" spans="1:13" x14ac:dyDescent="0.2">
      <c r="A74" s="17"/>
      <c r="B74" s="18">
        <f>($G$3-53)*2</f>
        <v>38</v>
      </c>
      <c r="C74" s="15" t="s">
        <v>42</v>
      </c>
      <c r="D74" s="16">
        <f t="shared" ref="D74:M74" si="37">D75*$B$10</f>
        <v>1171.54</v>
      </c>
      <c r="E74" s="16">
        <f t="shared" si="37"/>
        <v>1210.68</v>
      </c>
      <c r="F74" s="16">
        <f t="shared" si="37"/>
        <v>1249.44</v>
      </c>
      <c r="G74" s="16">
        <f t="shared" si="37"/>
        <v>1288.96</v>
      </c>
      <c r="H74" s="16">
        <f t="shared" si="37"/>
        <v>1327.7199999999998</v>
      </c>
      <c r="I74" s="16">
        <f t="shared" si="37"/>
        <v>1366.86</v>
      </c>
      <c r="J74" s="16">
        <f t="shared" si="37"/>
        <v>1405.6200000000001</v>
      </c>
      <c r="K74" s="16">
        <f t="shared" si="37"/>
        <v>1445.14</v>
      </c>
      <c r="L74" s="16">
        <f t="shared" si="37"/>
        <v>1483.8999999999999</v>
      </c>
      <c r="M74" s="16">
        <f t="shared" si="37"/>
        <v>1523.04</v>
      </c>
    </row>
    <row r="75" spans="1:13" x14ac:dyDescent="0.2">
      <c r="A75" s="12" t="s">
        <v>25</v>
      </c>
      <c r="B75" s="12"/>
      <c r="C75" s="15" t="s">
        <v>14</v>
      </c>
      <c r="D75" s="16">
        <f t="shared" ref="D75:M75" si="38">IF(ROUND(D73*1.5,2)&lt;$G$122,ROUND(D73*1.5,2),IF($G$122&lt;D73,D73,$G$122))</f>
        <v>30.83</v>
      </c>
      <c r="E75" s="16">
        <f t="shared" si="38"/>
        <v>31.86</v>
      </c>
      <c r="F75" s="16">
        <f t="shared" si="38"/>
        <v>32.880000000000003</v>
      </c>
      <c r="G75" s="16">
        <f t="shared" si="38"/>
        <v>33.92</v>
      </c>
      <c r="H75" s="16">
        <f t="shared" si="38"/>
        <v>34.94</v>
      </c>
      <c r="I75" s="16">
        <f t="shared" si="38"/>
        <v>35.97</v>
      </c>
      <c r="J75" s="16">
        <f t="shared" si="38"/>
        <v>36.99</v>
      </c>
      <c r="K75" s="16">
        <f t="shared" si="38"/>
        <v>38.03</v>
      </c>
      <c r="L75" s="16">
        <f t="shared" si="38"/>
        <v>39.049999999999997</v>
      </c>
      <c r="M75" s="16">
        <f t="shared" si="38"/>
        <v>40.08</v>
      </c>
    </row>
    <row r="76" spans="1:13" s="1" customFormat="1" x14ac:dyDescent="0.2">
      <c r="A76" s="51"/>
      <c r="B76" s="51"/>
      <c r="C76" s="28" t="s">
        <v>46</v>
      </c>
      <c r="D76" s="16">
        <f>ROUND(D73*'Start Page'!$F$48,2)*$B$13</f>
        <v>0</v>
      </c>
      <c r="E76" s="16">
        <f>ROUND(E73*'Start Page'!$F$48,2)*$B$13</f>
        <v>0</v>
      </c>
      <c r="F76" s="16">
        <f>ROUND(F73*'Start Page'!$F$48,2)*$B$13</f>
        <v>0</v>
      </c>
      <c r="G76" s="16">
        <f>ROUND(G73*'Start Page'!$F$48,2)*$B$13</f>
        <v>0</v>
      </c>
      <c r="H76" s="16">
        <f>ROUND(H73*'Start Page'!$F$48,2)*$B$13</f>
        <v>0</v>
      </c>
      <c r="I76" s="16">
        <f>ROUND(I73*'Start Page'!$F$48,2)*$B$13</f>
        <v>0</v>
      </c>
      <c r="J76" s="16">
        <f>ROUND(J73*'Start Page'!$F$48,2)*$B$13</f>
        <v>0</v>
      </c>
      <c r="K76" s="16">
        <f>ROUND(K73*'Start Page'!$F$48,2)*$B$13</f>
        <v>0</v>
      </c>
      <c r="L76" s="16">
        <f>ROUND(L73*'Start Page'!$F$48,2)*$B$13</f>
        <v>0</v>
      </c>
      <c r="M76" s="16">
        <f>ROUND(M73*'Start Page'!$F$48,2)*$B$13</f>
        <v>0</v>
      </c>
    </row>
    <row r="77" spans="1:13" x14ac:dyDescent="0.2">
      <c r="A77" s="12"/>
      <c r="B77" s="12">
        <f>B72+B74</f>
        <v>144</v>
      </c>
      <c r="C77" s="19" t="s">
        <v>17</v>
      </c>
      <c r="D77" s="20">
        <f t="shared" ref="D77:M77" si="39">D72+D74+D76</f>
        <v>3349.84</v>
      </c>
      <c r="E77" s="20">
        <f t="shared" si="39"/>
        <v>3462.12</v>
      </c>
      <c r="F77" s="20">
        <f t="shared" si="39"/>
        <v>3572.96</v>
      </c>
      <c r="G77" s="20">
        <f t="shared" si="39"/>
        <v>3685.62</v>
      </c>
      <c r="H77" s="20">
        <f t="shared" si="39"/>
        <v>3796.4599999999996</v>
      </c>
      <c r="I77" s="20">
        <f t="shared" si="39"/>
        <v>3908.74</v>
      </c>
      <c r="J77" s="20">
        <f t="shared" si="39"/>
        <v>4019.58</v>
      </c>
      <c r="K77" s="20">
        <f t="shared" si="39"/>
        <v>4132.2400000000007</v>
      </c>
      <c r="L77" s="20">
        <f t="shared" si="39"/>
        <v>4243.08</v>
      </c>
      <c r="M77" s="20">
        <f t="shared" si="39"/>
        <v>4355.3599999999997</v>
      </c>
    </row>
    <row r="78" spans="1:13" x14ac:dyDescent="0.2">
      <c r="A78" s="12"/>
      <c r="B78" s="12"/>
      <c r="C78" s="19" t="s">
        <v>33</v>
      </c>
      <c r="D78" s="20">
        <f>D77*'Start Page'!$C$65</f>
        <v>87095.84</v>
      </c>
      <c r="E78" s="20">
        <f>E77*'Start Page'!$C$65</f>
        <v>90015.12</v>
      </c>
      <c r="F78" s="20">
        <f>F77*'Start Page'!$C$65</f>
        <v>92896.960000000006</v>
      </c>
      <c r="G78" s="20">
        <f>G77*'Start Page'!$C$65</f>
        <v>95826.12</v>
      </c>
      <c r="H78" s="20">
        <f>H77*'Start Page'!$C$65</f>
        <v>98707.959999999992</v>
      </c>
      <c r="I78" s="20">
        <f>I77*'Start Page'!$C$65</f>
        <v>101627.23999999999</v>
      </c>
      <c r="J78" s="20">
        <f>J77*'Start Page'!$C$65</f>
        <v>104509.08</v>
      </c>
      <c r="K78" s="20">
        <f>K77*'Start Page'!$C$65</f>
        <v>107438.24000000002</v>
      </c>
      <c r="L78" s="20">
        <f>L77*'Start Page'!$C$65</f>
        <v>110320.08</v>
      </c>
      <c r="M78" s="20">
        <f>M77*'Start Page'!$C$65</f>
        <v>113239.35999999999</v>
      </c>
    </row>
    <row r="79" spans="1:13" s="24" customFormat="1" x14ac:dyDescent="0.2">
      <c r="A79" s="21"/>
      <c r="B79" s="21"/>
      <c r="C79" s="22" t="s">
        <v>71</v>
      </c>
      <c r="D79" s="23">
        <f>D73*$B$13*'Start Page'!$C$65</f>
        <v>76939.200000000012</v>
      </c>
      <c r="E79" s="23">
        <f>E73*$B$13*'Start Page'!$C$65</f>
        <v>79522.559999999998</v>
      </c>
      <c r="F79" s="23">
        <f>F73*$B$13*'Start Page'!$C$65</f>
        <v>82068.48000000001</v>
      </c>
      <c r="G79" s="23">
        <f>G73*$B$13*'Start Page'!$C$65</f>
        <v>84651.839999999997</v>
      </c>
      <c r="H79" s="23">
        <f>H73*$B$13*'Start Page'!$C$65</f>
        <v>87197.759999999995</v>
      </c>
      <c r="I79" s="23">
        <f>I73*$B$13*'Start Page'!$C$65</f>
        <v>89781.119999999995</v>
      </c>
      <c r="J79" s="23">
        <f>J73*$B$13*'Start Page'!$C$65</f>
        <v>92327.039999999994</v>
      </c>
      <c r="K79" s="23">
        <f>K73*$B$13*'Start Page'!$C$65</f>
        <v>94910.400000000009</v>
      </c>
      <c r="L79" s="23">
        <f>L73*$B$13*'Start Page'!$C$65</f>
        <v>97456.320000000007</v>
      </c>
      <c r="M79" s="88">
        <f>M73*$B$13*'Start Page'!$C$65</f>
        <v>100039.67999999999</v>
      </c>
    </row>
    <row r="80" spans="1:13" x14ac:dyDescent="0.2">
      <c r="A80" s="12"/>
      <c r="B80" s="12"/>
      <c r="C80" s="13" t="s">
        <v>30</v>
      </c>
      <c r="D80" s="14">
        <f>'GS Pay Scale'!B17</f>
        <v>62236</v>
      </c>
      <c r="E80" s="14">
        <f>'GS Pay Scale'!C17</f>
        <v>64311</v>
      </c>
      <c r="F80" s="14">
        <f>'GS Pay Scale'!D17</f>
        <v>66386</v>
      </c>
      <c r="G80" s="14">
        <f>'GS Pay Scale'!E17</f>
        <v>68462</v>
      </c>
      <c r="H80" s="14">
        <f>'GS Pay Scale'!F17</f>
        <v>70537</v>
      </c>
      <c r="I80" s="14">
        <f>'GS Pay Scale'!G17</f>
        <v>72612</v>
      </c>
      <c r="J80" s="14">
        <f>'GS Pay Scale'!H17</f>
        <v>74687</v>
      </c>
      <c r="K80" s="14">
        <f>'GS Pay Scale'!I17</f>
        <v>76762</v>
      </c>
      <c r="L80" s="14">
        <f>'GS Pay Scale'!J17</f>
        <v>78837</v>
      </c>
      <c r="M80" s="14">
        <f>'GS Pay Scale'!K17</f>
        <v>80912</v>
      </c>
    </row>
    <row r="81" spans="1:13" x14ac:dyDescent="0.2">
      <c r="A81" s="12"/>
      <c r="B81" s="12">
        <v>106</v>
      </c>
      <c r="C81" s="15" t="s">
        <v>41</v>
      </c>
      <c r="D81" s="16">
        <f t="shared" ref="D81:M81" si="40">D82*106</f>
        <v>2393.48</v>
      </c>
      <c r="E81" s="16">
        <f t="shared" si="40"/>
        <v>2472.98</v>
      </c>
      <c r="F81" s="16">
        <f t="shared" si="40"/>
        <v>2553.54</v>
      </c>
      <c r="G81" s="16">
        <f t="shared" si="40"/>
        <v>2633.04</v>
      </c>
      <c r="H81" s="16">
        <f t="shared" si="40"/>
        <v>2712.54</v>
      </c>
      <c r="I81" s="16">
        <f t="shared" si="40"/>
        <v>2793.1000000000004</v>
      </c>
      <c r="J81" s="16">
        <f t="shared" si="40"/>
        <v>2872.6000000000004</v>
      </c>
      <c r="K81" s="16">
        <f t="shared" si="40"/>
        <v>2952.1000000000004</v>
      </c>
      <c r="L81" s="16">
        <f t="shared" si="40"/>
        <v>3032.66</v>
      </c>
      <c r="M81" s="16">
        <f t="shared" si="40"/>
        <v>3112.16</v>
      </c>
    </row>
    <row r="82" spans="1:13" x14ac:dyDescent="0.2">
      <c r="A82" s="12"/>
      <c r="B82" s="12"/>
      <c r="C82" s="15" t="s">
        <v>13</v>
      </c>
      <c r="D82" s="16">
        <f t="shared" ref="D82:M82" si="41">ROUND(D80/2756,2)</f>
        <v>22.58</v>
      </c>
      <c r="E82" s="16">
        <f t="shared" si="41"/>
        <v>23.33</v>
      </c>
      <c r="F82" s="16">
        <f t="shared" si="41"/>
        <v>24.09</v>
      </c>
      <c r="G82" s="16">
        <f t="shared" si="41"/>
        <v>24.84</v>
      </c>
      <c r="H82" s="16">
        <f t="shared" si="41"/>
        <v>25.59</v>
      </c>
      <c r="I82" s="16">
        <f t="shared" si="41"/>
        <v>26.35</v>
      </c>
      <c r="J82" s="16">
        <f t="shared" si="41"/>
        <v>27.1</v>
      </c>
      <c r="K82" s="16">
        <f t="shared" si="41"/>
        <v>27.85</v>
      </c>
      <c r="L82" s="16">
        <f t="shared" si="41"/>
        <v>28.61</v>
      </c>
      <c r="M82" s="16">
        <f t="shared" si="41"/>
        <v>29.36</v>
      </c>
    </row>
    <row r="83" spans="1:13" x14ac:dyDescent="0.2">
      <c r="A83" s="17"/>
      <c r="B83" s="18">
        <f>($G$3-53)*2</f>
        <v>38</v>
      </c>
      <c r="C83" s="15" t="s">
        <v>42</v>
      </c>
      <c r="D83" s="16">
        <f t="shared" ref="D83:M83" si="42">D84*$B$10</f>
        <v>1287.06</v>
      </c>
      <c r="E83" s="16">
        <f t="shared" si="42"/>
        <v>1330</v>
      </c>
      <c r="F83" s="16">
        <f t="shared" si="42"/>
        <v>1373.32</v>
      </c>
      <c r="G83" s="16">
        <f t="shared" si="42"/>
        <v>1415.8799999999999</v>
      </c>
      <c r="H83" s="16">
        <f t="shared" si="42"/>
        <v>1458.82</v>
      </c>
      <c r="I83" s="16">
        <f t="shared" si="42"/>
        <v>1502.14</v>
      </c>
      <c r="J83" s="16">
        <f t="shared" si="42"/>
        <v>1544.7</v>
      </c>
      <c r="K83" s="16">
        <f t="shared" si="42"/>
        <v>1546.98</v>
      </c>
      <c r="L83" s="16">
        <f t="shared" si="42"/>
        <v>1546.98</v>
      </c>
      <c r="M83" s="16">
        <f t="shared" si="42"/>
        <v>1546.98</v>
      </c>
    </row>
    <row r="84" spans="1:13" x14ac:dyDescent="0.2">
      <c r="A84" s="12" t="s">
        <v>16</v>
      </c>
      <c r="B84" s="12"/>
      <c r="C84" s="15" t="s">
        <v>14</v>
      </c>
      <c r="D84" s="16">
        <f t="shared" ref="D84:M84" si="43">IF(ROUND(D82*1.5,2)&lt;$G$122,ROUND(D82*1.5,2),IF($G$122&lt;D82,D82,$G$122))</f>
        <v>33.869999999999997</v>
      </c>
      <c r="E84" s="16">
        <f t="shared" si="43"/>
        <v>35</v>
      </c>
      <c r="F84" s="16">
        <f t="shared" si="43"/>
        <v>36.14</v>
      </c>
      <c r="G84" s="16">
        <f t="shared" si="43"/>
        <v>37.26</v>
      </c>
      <c r="H84" s="16">
        <f t="shared" si="43"/>
        <v>38.39</v>
      </c>
      <c r="I84" s="16">
        <f t="shared" si="43"/>
        <v>39.53</v>
      </c>
      <c r="J84" s="16">
        <f t="shared" si="43"/>
        <v>40.65</v>
      </c>
      <c r="K84" s="16">
        <f t="shared" si="43"/>
        <v>40.71</v>
      </c>
      <c r="L84" s="16">
        <f t="shared" si="43"/>
        <v>40.71</v>
      </c>
      <c r="M84" s="16">
        <f t="shared" si="43"/>
        <v>40.71</v>
      </c>
    </row>
    <row r="85" spans="1:13" s="1" customFormat="1" x14ac:dyDescent="0.2">
      <c r="A85" s="51"/>
      <c r="B85" s="51"/>
      <c r="C85" s="28" t="s">
        <v>46</v>
      </c>
      <c r="D85" s="16">
        <f>ROUND(D82*'Start Page'!$F$48,2)*$B$13</f>
        <v>0</v>
      </c>
      <c r="E85" s="16">
        <f>ROUND(E82*'Start Page'!$F$48,2)*$B$13</f>
        <v>0</v>
      </c>
      <c r="F85" s="16">
        <f>ROUND(F82*'Start Page'!$F$48,2)*$B$13</f>
        <v>0</v>
      </c>
      <c r="G85" s="16">
        <f>ROUND(G82*'Start Page'!$F$48,2)*$B$13</f>
        <v>0</v>
      </c>
      <c r="H85" s="16">
        <f>ROUND(H82*'Start Page'!$F$48,2)*$B$13</f>
        <v>0</v>
      </c>
      <c r="I85" s="16">
        <f>ROUND(I82*'Start Page'!$F$48,2)*$B$13</f>
        <v>0</v>
      </c>
      <c r="J85" s="16">
        <f>ROUND(J82*'Start Page'!$F$48,2)*$B$13</f>
        <v>0</v>
      </c>
      <c r="K85" s="16">
        <f>ROUND(K82*'Start Page'!$F$48,2)*$B$13</f>
        <v>0</v>
      </c>
      <c r="L85" s="16">
        <f>ROUND(L82*'Start Page'!$F$48,2)*$B$13</f>
        <v>0</v>
      </c>
      <c r="M85" s="16">
        <f>ROUND(M82*'Start Page'!$F$48,2)*$B$13</f>
        <v>0</v>
      </c>
    </row>
    <row r="86" spans="1:13" x14ac:dyDescent="0.2">
      <c r="A86" s="12"/>
      <c r="B86" s="12">
        <f>B81+B83</f>
        <v>144</v>
      </c>
      <c r="C86" s="19" t="s">
        <v>17</v>
      </c>
      <c r="D86" s="20">
        <f t="shared" ref="D86:M86" si="44">D81+D83+D85</f>
        <v>3680.54</v>
      </c>
      <c r="E86" s="20">
        <f t="shared" si="44"/>
        <v>3802.98</v>
      </c>
      <c r="F86" s="20">
        <f t="shared" si="44"/>
        <v>3926.8599999999997</v>
      </c>
      <c r="G86" s="20">
        <f t="shared" si="44"/>
        <v>4048.92</v>
      </c>
      <c r="H86" s="20">
        <f t="shared" si="44"/>
        <v>4171.3599999999997</v>
      </c>
      <c r="I86" s="20">
        <f t="shared" si="44"/>
        <v>4295.2400000000007</v>
      </c>
      <c r="J86" s="20">
        <f t="shared" si="44"/>
        <v>4417.3</v>
      </c>
      <c r="K86" s="20">
        <f t="shared" si="44"/>
        <v>4499.08</v>
      </c>
      <c r="L86" s="20">
        <f t="shared" si="44"/>
        <v>4579.6399999999994</v>
      </c>
      <c r="M86" s="20">
        <f t="shared" si="44"/>
        <v>4659.1399999999994</v>
      </c>
    </row>
    <row r="87" spans="1:13" x14ac:dyDescent="0.2">
      <c r="A87" s="12"/>
      <c r="B87" s="12"/>
      <c r="C87" s="19" t="s">
        <v>33</v>
      </c>
      <c r="D87" s="20">
        <f>D86*'Start Page'!$C$65</f>
        <v>95694.04</v>
      </c>
      <c r="E87" s="20">
        <f>E86*'Start Page'!$C$65</f>
        <v>98877.48</v>
      </c>
      <c r="F87" s="20">
        <f>F86*'Start Page'!$C$65</f>
        <v>102098.35999999999</v>
      </c>
      <c r="G87" s="20">
        <f>G86*'Start Page'!$C$65</f>
        <v>105271.92</v>
      </c>
      <c r="H87" s="20">
        <f>H86*'Start Page'!$C$65</f>
        <v>108455.35999999999</v>
      </c>
      <c r="I87" s="20">
        <f>I86*'Start Page'!$C$65</f>
        <v>111676.24000000002</v>
      </c>
      <c r="J87" s="20">
        <f>J86*'Start Page'!$C$65</f>
        <v>114849.8</v>
      </c>
      <c r="K87" s="20">
        <f>K86*'Start Page'!$C$65</f>
        <v>116976.08</v>
      </c>
      <c r="L87" s="20">
        <f>L86*'Start Page'!$C$65</f>
        <v>119070.63999999998</v>
      </c>
      <c r="M87" s="20">
        <f>M86*'Start Page'!$C$65</f>
        <v>121137.63999999998</v>
      </c>
    </row>
    <row r="88" spans="1:13" s="24" customFormat="1" x14ac:dyDescent="0.2">
      <c r="A88" s="21"/>
      <c r="B88" s="21"/>
      <c r="C88" s="22" t="s">
        <v>71</v>
      </c>
      <c r="D88" s="23">
        <f>D82*$B$13*'Start Page'!$C$65</f>
        <v>84539.51999999999</v>
      </c>
      <c r="E88" s="23">
        <f>E82*$B$13*'Start Page'!$C$65</f>
        <v>87347.51999999999</v>
      </c>
      <c r="F88" s="23">
        <f>F82*$B$13*'Start Page'!$C$65</f>
        <v>90192.960000000006</v>
      </c>
      <c r="G88" s="23">
        <f>G82*$B$13*'Start Page'!$C$65</f>
        <v>93000.960000000006</v>
      </c>
      <c r="H88" s="23">
        <f>H82*$B$13*'Start Page'!$C$65</f>
        <v>95808.960000000006</v>
      </c>
      <c r="I88" s="23">
        <f>I82*$B$13*'Start Page'!$C$65</f>
        <v>98654.400000000009</v>
      </c>
      <c r="J88" s="23">
        <f>J82*$B$13*'Start Page'!$C$65</f>
        <v>101462.40000000001</v>
      </c>
      <c r="K88" s="23">
        <f>K82*$B$13*'Start Page'!$C$65</f>
        <v>104270.40000000001</v>
      </c>
      <c r="L88" s="23">
        <f>L82*$B$13*'Start Page'!$C$65</f>
        <v>107115.84</v>
      </c>
      <c r="M88" s="88">
        <f>M82*$B$13*'Start Page'!$C$65</f>
        <v>109923.84</v>
      </c>
    </row>
    <row r="89" spans="1:13" x14ac:dyDescent="0.2">
      <c r="A89" s="12"/>
      <c r="B89" s="12"/>
      <c r="C89" s="13" t="s">
        <v>30</v>
      </c>
      <c r="D89" s="14">
        <f>'GS Pay Scale'!B18</f>
        <v>74596</v>
      </c>
      <c r="E89" s="14">
        <f>'GS Pay Scale'!C18</f>
        <v>77082</v>
      </c>
      <c r="F89" s="14">
        <f>'GS Pay Scale'!D18</f>
        <v>79569</v>
      </c>
      <c r="G89" s="14">
        <f>'GS Pay Scale'!E18</f>
        <v>82056</v>
      </c>
      <c r="H89" s="14">
        <f>'GS Pay Scale'!F18</f>
        <v>84543</v>
      </c>
      <c r="I89" s="14">
        <f>'GS Pay Scale'!G18</f>
        <v>87030</v>
      </c>
      <c r="J89" s="14">
        <f>'GS Pay Scale'!H18</f>
        <v>89517</v>
      </c>
      <c r="K89" s="14">
        <f>'GS Pay Scale'!I18</f>
        <v>92004</v>
      </c>
      <c r="L89" s="14">
        <f>'GS Pay Scale'!J18</f>
        <v>94491</v>
      </c>
      <c r="M89" s="14">
        <f>'GS Pay Scale'!K18</f>
        <v>96978</v>
      </c>
    </row>
    <row r="90" spans="1:13" x14ac:dyDescent="0.2">
      <c r="A90" s="12"/>
      <c r="B90" s="12">
        <v>106</v>
      </c>
      <c r="C90" s="15" t="s">
        <v>41</v>
      </c>
      <c r="D90" s="16">
        <f t="shared" ref="D90:M90" si="45">D91*106</f>
        <v>2869.42</v>
      </c>
      <c r="E90" s="16">
        <f t="shared" si="45"/>
        <v>2964.8199999999997</v>
      </c>
      <c r="F90" s="16">
        <f t="shared" si="45"/>
        <v>3060.2200000000003</v>
      </c>
      <c r="G90" s="16">
        <f t="shared" si="45"/>
        <v>3155.62</v>
      </c>
      <c r="H90" s="16">
        <f t="shared" si="45"/>
        <v>3252.08</v>
      </c>
      <c r="I90" s="16">
        <f t="shared" si="45"/>
        <v>3347.48</v>
      </c>
      <c r="J90" s="16">
        <f t="shared" si="45"/>
        <v>3442.8799999999997</v>
      </c>
      <c r="K90" s="16">
        <f t="shared" si="45"/>
        <v>3538.28</v>
      </c>
      <c r="L90" s="16">
        <f t="shared" si="45"/>
        <v>3634.74</v>
      </c>
      <c r="M90" s="16">
        <f t="shared" si="45"/>
        <v>3730.14</v>
      </c>
    </row>
    <row r="91" spans="1:13" x14ac:dyDescent="0.2">
      <c r="A91" s="12"/>
      <c r="B91" s="12"/>
      <c r="C91" s="15" t="s">
        <v>13</v>
      </c>
      <c r="D91" s="16">
        <f t="shared" ref="D91:M91" si="46">ROUND(D89/2756,2)</f>
        <v>27.07</v>
      </c>
      <c r="E91" s="16">
        <f t="shared" si="46"/>
        <v>27.97</v>
      </c>
      <c r="F91" s="16">
        <f t="shared" si="46"/>
        <v>28.87</v>
      </c>
      <c r="G91" s="16">
        <f t="shared" si="46"/>
        <v>29.77</v>
      </c>
      <c r="H91" s="16">
        <f t="shared" si="46"/>
        <v>30.68</v>
      </c>
      <c r="I91" s="16">
        <f t="shared" si="46"/>
        <v>31.58</v>
      </c>
      <c r="J91" s="16">
        <f t="shared" si="46"/>
        <v>32.479999999999997</v>
      </c>
      <c r="K91" s="16">
        <f t="shared" si="46"/>
        <v>33.380000000000003</v>
      </c>
      <c r="L91" s="16">
        <f t="shared" si="46"/>
        <v>34.29</v>
      </c>
      <c r="M91" s="16">
        <f t="shared" si="46"/>
        <v>35.19</v>
      </c>
    </row>
    <row r="92" spans="1:13" x14ac:dyDescent="0.2">
      <c r="A92" s="17"/>
      <c r="B92" s="18">
        <f>($G$3-53)*2</f>
        <v>38</v>
      </c>
      <c r="C92" s="15" t="s">
        <v>42</v>
      </c>
      <c r="D92" s="16">
        <f t="shared" ref="D92:M92" si="47">D93*$B$10</f>
        <v>1543.18</v>
      </c>
      <c r="E92" s="16">
        <f t="shared" si="47"/>
        <v>1546.98</v>
      </c>
      <c r="F92" s="16">
        <f t="shared" si="47"/>
        <v>1546.98</v>
      </c>
      <c r="G92" s="16">
        <f t="shared" si="47"/>
        <v>1546.98</v>
      </c>
      <c r="H92" s="16">
        <f t="shared" si="47"/>
        <v>1546.98</v>
      </c>
      <c r="I92" s="16">
        <f t="shared" si="47"/>
        <v>1546.98</v>
      </c>
      <c r="J92" s="16">
        <f t="shared" si="47"/>
        <v>1546.98</v>
      </c>
      <c r="K92" s="16">
        <f t="shared" si="47"/>
        <v>1546.98</v>
      </c>
      <c r="L92" s="16">
        <f t="shared" si="47"/>
        <v>1546.98</v>
      </c>
      <c r="M92" s="16">
        <f t="shared" si="47"/>
        <v>1546.98</v>
      </c>
    </row>
    <row r="93" spans="1:13" x14ac:dyDescent="0.2">
      <c r="A93" s="12" t="s">
        <v>26</v>
      </c>
      <c r="B93" s="12"/>
      <c r="C93" s="15" t="s">
        <v>14</v>
      </c>
      <c r="D93" s="16">
        <f t="shared" ref="D93:M93" si="48">IF(ROUND(D91*1.5,2)&lt;$G$122,ROUND(D91*1.5,2),IF($G$122&lt;D91,D91,$G$122))</f>
        <v>40.61</v>
      </c>
      <c r="E93" s="16">
        <f t="shared" si="48"/>
        <v>40.71</v>
      </c>
      <c r="F93" s="16">
        <f t="shared" si="48"/>
        <v>40.71</v>
      </c>
      <c r="G93" s="16">
        <f t="shared" si="48"/>
        <v>40.71</v>
      </c>
      <c r="H93" s="16">
        <f t="shared" si="48"/>
        <v>40.71</v>
      </c>
      <c r="I93" s="16">
        <f t="shared" si="48"/>
        <v>40.71</v>
      </c>
      <c r="J93" s="16">
        <f t="shared" si="48"/>
        <v>40.71</v>
      </c>
      <c r="K93" s="16">
        <f t="shared" si="48"/>
        <v>40.71</v>
      </c>
      <c r="L93" s="16">
        <f t="shared" si="48"/>
        <v>40.71</v>
      </c>
      <c r="M93" s="16">
        <f t="shared" si="48"/>
        <v>40.71</v>
      </c>
    </row>
    <row r="94" spans="1:13" s="1" customFormat="1" x14ac:dyDescent="0.2">
      <c r="A94" s="51"/>
      <c r="B94" s="51"/>
      <c r="C94" s="28" t="s">
        <v>46</v>
      </c>
      <c r="D94" s="16">
        <f>ROUND(D91*'Start Page'!$F$48,2)*$B$13</f>
        <v>0</v>
      </c>
      <c r="E94" s="16">
        <f>ROUND(E91*'Start Page'!$F$48,2)*$B$13</f>
        <v>0</v>
      </c>
      <c r="F94" s="16">
        <f>ROUND(F91*'Start Page'!$F$48,2)*$B$13</f>
        <v>0</v>
      </c>
      <c r="G94" s="16">
        <f>ROUND(G91*'Start Page'!$F$48,2)*$B$13</f>
        <v>0</v>
      </c>
      <c r="H94" s="16">
        <f>ROUND(H91*'Start Page'!$F$48,2)*$B$13</f>
        <v>0</v>
      </c>
      <c r="I94" s="16">
        <f>ROUND(I91*'Start Page'!$F$48,2)*$B$13</f>
        <v>0</v>
      </c>
      <c r="J94" s="16">
        <f>ROUND(J91*'Start Page'!$F$48,2)*$B$13</f>
        <v>0</v>
      </c>
      <c r="K94" s="16">
        <f>ROUND(K91*'Start Page'!$F$48,2)*$B$13</f>
        <v>0</v>
      </c>
      <c r="L94" s="16">
        <f>ROUND(L91*'Start Page'!$F$48,2)*$B$13</f>
        <v>0</v>
      </c>
      <c r="M94" s="16">
        <f>ROUND(M91*'Start Page'!$F$48,2)*$B$13</f>
        <v>0</v>
      </c>
    </row>
    <row r="95" spans="1:13" x14ac:dyDescent="0.2">
      <c r="A95" s="12"/>
      <c r="B95" s="12">
        <f>B90+B92</f>
        <v>144</v>
      </c>
      <c r="C95" s="19" t="s">
        <v>17</v>
      </c>
      <c r="D95" s="20">
        <f t="shared" ref="D95:M95" si="49">D90+D92+D94</f>
        <v>4412.6000000000004</v>
      </c>
      <c r="E95" s="20">
        <f t="shared" si="49"/>
        <v>4511.7999999999993</v>
      </c>
      <c r="F95" s="20">
        <f t="shared" si="49"/>
        <v>4607.2000000000007</v>
      </c>
      <c r="G95" s="20">
        <f t="shared" si="49"/>
        <v>4702.6000000000004</v>
      </c>
      <c r="H95" s="20">
        <f t="shared" si="49"/>
        <v>4799.0599999999995</v>
      </c>
      <c r="I95" s="20">
        <f t="shared" si="49"/>
        <v>4894.46</v>
      </c>
      <c r="J95" s="20">
        <f t="shared" si="49"/>
        <v>4989.8599999999997</v>
      </c>
      <c r="K95" s="20">
        <f t="shared" si="49"/>
        <v>5085.26</v>
      </c>
      <c r="L95" s="20">
        <f t="shared" si="49"/>
        <v>5181.7199999999993</v>
      </c>
      <c r="M95" s="20">
        <f t="shared" si="49"/>
        <v>5277.12</v>
      </c>
    </row>
    <row r="96" spans="1:13" x14ac:dyDescent="0.2">
      <c r="A96" s="12"/>
      <c r="B96" s="12"/>
      <c r="C96" s="19" t="s">
        <v>33</v>
      </c>
      <c r="D96" s="20">
        <f>D95*'Start Page'!$C$65</f>
        <v>114727.6</v>
      </c>
      <c r="E96" s="20">
        <f>E95*'Start Page'!$C$65</f>
        <v>117306.79999999999</v>
      </c>
      <c r="F96" s="20">
        <f>F95*'Start Page'!$C$65</f>
        <v>119787.20000000001</v>
      </c>
      <c r="G96" s="20">
        <f>G95*'Start Page'!$C$65</f>
        <v>122267.6</v>
      </c>
      <c r="H96" s="20">
        <f>H95*'Start Page'!$C$65</f>
        <v>124775.55999999998</v>
      </c>
      <c r="I96" s="20">
        <f>I95*'Start Page'!$C$65</f>
        <v>127255.96</v>
      </c>
      <c r="J96" s="20">
        <f>J95*'Start Page'!$C$65</f>
        <v>129736.35999999999</v>
      </c>
      <c r="K96" s="20">
        <f>K95*'Start Page'!$C$65</f>
        <v>132216.76</v>
      </c>
      <c r="L96" s="20">
        <f>L95*'Start Page'!$C$65</f>
        <v>134724.71999999997</v>
      </c>
      <c r="M96" s="20">
        <f>M95*'Start Page'!$C$65</f>
        <v>137205.12</v>
      </c>
    </row>
    <row r="97" spans="1:13" s="24" customFormat="1" x14ac:dyDescent="0.2">
      <c r="A97" s="21"/>
      <c r="B97" s="21"/>
      <c r="C97" s="22" t="s">
        <v>71</v>
      </c>
      <c r="D97" s="23">
        <f>D91*$B$13*'Start Page'!$C$65</f>
        <v>101350.08</v>
      </c>
      <c r="E97" s="23">
        <f>E91*$B$13*'Start Page'!$C$65</f>
        <v>104719.67999999999</v>
      </c>
      <c r="F97" s="23">
        <f>F91*$B$13*'Start Page'!$C$65</f>
        <v>108089.28</v>
      </c>
      <c r="G97" s="23">
        <f>G91*$B$13*'Start Page'!$C$65</f>
        <v>111458.88</v>
      </c>
      <c r="H97" s="23">
        <f>H91*$B$13*'Start Page'!$C$65</f>
        <v>114865.92</v>
      </c>
      <c r="I97" s="23">
        <f>I91*$B$13*'Start Page'!$C$65</f>
        <v>118235.51999999999</v>
      </c>
      <c r="J97" s="23">
        <f>J91*$B$13*'Start Page'!$C$65</f>
        <v>121605.12</v>
      </c>
      <c r="K97" s="23">
        <f>K91*$B$13*'Start Page'!$C$65</f>
        <v>124974.72</v>
      </c>
      <c r="L97" s="23">
        <f>L91*$B$13*'Start Page'!$C$65</f>
        <v>128381.76000000001</v>
      </c>
      <c r="M97" s="88">
        <f>M91*$B$13*'Start Page'!$C$65</f>
        <v>131751.35999999999</v>
      </c>
    </row>
    <row r="98" spans="1:13" s="24" customFormat="1" x14ac:dyDescent="0.2">
      <c r="A98" s="12"/>
      <c r="B98" s="12"/>
      <c r="C98" s="13" t="s">
        <v>30</v>
      </c>
      <c r="D98" s="14">
        <f>'GS Pay Scale'!B19</f>
        <v>88704</v>
      </c>
      <c r="E98" s="14">
        <f>'GS Pay Scale'!C19</f>
        <v>91660</v>
      </c>
      <c r="F98" s="14">
        <f>'GS Pay Scale'!D19</f>
        <v>94617</v>
      </c>
      <c r="G98" s="14">
        <f>'GS Pay Scale'!E19</f>
        <v>97573</v>
      </c>
      <c r="H98" s="14">
        <f>'GS Pay Scale'!F19</f>
        <v>100530</v>
      </c>
      <c r="I98" s="14">
        <f>'GS Pay Scale'!G19</f>
        <v>103486</v>
      </c>
      <c r="J98" s="14">
        <f>'GS Pay Scale'!H19</f>
        <v>106443</v>
      </c>
      <c r="K98" s="14">
        <f>'GS Pay Scale'!I19</f>
        <v>109400</v>
      </c>
      <c r="L98" s="14">
        <f>'GS Pay Scale'!J19</f>
        <v>112356</v>
      </c>
      <c r="M98" s="14">
        <f>'GS Pay Scale'!K19</f>
        <v>115313</v>
      </c>
    </row>
    <row r="99" spans="1:13" s="24" customFormat="1" x14ac:dyDescent="0.2">
      <c r="A99" s="12"/>
      <c r="B99" s="12">
        <v>106</v>
      </c>
      <c r="C99" s="15" t="s">
        <v>41</v>
      </c>
      <c r="D99" s="16">
        <f t="shared" ref="D99:M99" si="50">D100*106</f>
        <v>3412.14</v>
      </c>
      <c r="E99" s="16">
        <f t="shared" si="50"/>
        <v>3525.56</v>
      </c>
      <c r="F99" s="16">
        <f t="shared" si="50"/>
        <v>3638.98</v>
      </c>
      <c r="G99" s="16">
        <f t="shared" si="50"/>
        <v>3752.3999999999996</v>
      </c>
      <c r="H99" s="16">
        <f t="shared" si="50"/>
        <v>3866.8799999999997</v>
      </c>
      <c r="I99" s="16">
        <f t="shared" si="50"/>
        <v>3980.2999999999997</v>
      </c>
      <c r="J99" s="16">
        <f t="shared" si="50"/>
        <v>4093.72</v>
      </c>
      <c r="K99" s="16">
        <f t="shared" si="50"/>
        <v>4208.2000000000007</v>
      </c>
      <c r="L99" s="16">
        <f t="shared" si="50"/>
        <v>4321.62</v>
      </c>
      <c r="M99" s="16">
        <f t="shared" si="50"/>
        <v>4435.04</v>
      </c>
    </row>
    <row r="100" spans="1:13" s="24" customFormat="1" x14ac:dyDescent="0.2">
      <c r="A100" s="12"/>
      <c r="B100" s="12"/>
      <c r="C100" s="15" t="s">
        <v>13</v>
      </c>
      <c r="D100" s="16">
        <f t="shared" ref="D100:M100" si="51">ROUND(D98/2756,2)</f>
        <v>32.19</v>
      </c>
      <c r="E100" s="16">
        <f t="shared" si="51"/>
        <v>33.26</v>
      </c>
      <c r="F100" s="16">
        <f t="shared" si="51"/>
        <v>34.33</v>
      </c>
      <c r="G100" s="16">
        <f t="shared" si="51"/>
        <v>35.4</v>
      </c>
      <c r="H100" s="16">
        <f t="shared" si="51"/>
        <v>36.479999999999997</v>
      </c>
      <c r="I100" s="16">
        <f t="shared" si="51"/>
        <v>37.549999999999997</v>
      </c>
      <c r="J100" s="16">
        <f t="shared" si="51"/>
        <v>38.619999999999997</v>
      </c>
      <c r="K100" s="16">
        <f t="shared" si="51"/>
        <v>39.700000000000003</v>
      </c>
      <c r="L100" s="16">
        <f t="shared" si="51"/>
        <v>40.770000000000003</v>
      </c>
      <c r="M100" s="16">
        <f t="shared" si="51"/>
        <v>41.84</v>
      </c>
    </row>
    <row r="101" spans="1:13" s="24" customFormat="1" x14ac:dyDescent="0.2">
      <c r="A101" s="17"/>
      <c r="B101" s="18">
        <f>($G$3-53)*2</f>
        <v>38</v>
      </c>
      <c r="C101" s="15" t="s">
        <v>42</v>
      </c>
      <c r="D101" s="16">
        <f t="shared" ref="D101:M101" si="52">D102*$B$10</f>
        <v>1546.98</v>
      </c>
      <c r="E101" s="16">
        <f t="shared" si="52"/>
        <v>1546.98</v>
      </c>
      <c r="F101" s="16">
        <f t="shared" si="52"/>
        <v>1546.98</v>
      </c>
      <c r="G101" s="16">
        <f t="shared" si="52"/>
        <v>1546.98</v>
      </c>
      <c r="H101" s="16">
        <f t="shared" si="52"/>
        <v>1546.98</v>
      </c>
      <c r="I101" s="16">
        <f t="shared" si="52"/>
        <v>1546.98</v>
      </c>
      <c r="J101" s="16">
        <f t="shared" si="52"/>
        <v>1546.98</v>
      </c>
      <c r="K101" s="16">
        <f t="shared" si="52"/>
        <v>1546.98</v>
      </c>
      <c r="L101" s="16">
        <f t="shared" si="52"/>
        <v>1549.2600000000002</v>
      </c>
      <c r="M101" s="16">
        <f t="shared" si="52"/>
        <v>1589.92</v>
      </c>
    </row>
    <row r="102" spans="1:13" s="24" customFormat="1" x14ac:dyDescent="0.2">
      <c r="A102" s="12" t="s">
        <v>31</v>
      </c>
      <c r="B102" s="12"/>
      <c r="C102" s="15" t="s">
        <v>14</v>
      </c>
      <c r="D102" s="16">
        <f t="shared" ref="D102:M102" si="53">IF(ROUND(D100*1.5,2)&lt;$G$122,ROUND(D100*1.5,2),IF($G$122&lt;D100,D100,$G$122))</f>
        <v>40.71</v>
      </c>
      <c r="E102" s="16">
        <f t="shared" si="53"/>
        <v>40.71</v>
      </c>
      <c r="F102" s="16">
        <f t="shared" si="53"/>
        <v>40.71</v>
      </c>
      <c r="G102" s="16">
        <f t="shared" si="53"/>
        <v>40.71</v>
      </c>
      <c r="H102" s="16">
        <f t="shared" si="53"/>
        <v>40.71</v>
      </c>
      <c r="I102" s="16">
        <f t="shared" si="53"/>
        <v>40.71</v>
      </c>
      <c r="J102" s="16">
        <f t="shared" si="53"/>
        <v>40.71</v>
      </c>
      <c r="K102" s="16">
        <f t="shared" si="53"/>
        <v>40.71</v>
      </c>
      <c r="L102" s="16">
        <f t="shared" si="53"/>
        <v>40.770000000000003</v>
      </c>
      <c r="M102" s="16">
        <f t="shared" si="53"/>
        <v>41.84</v>
      </c>
    </row>
    <row r="103" spans="1:13" s="24" customFormat="1" x14ac:dyDescent="0.2">
      <c r="A103" s="51"/>
      <c r="B103" s="51"/>
      <c r="C103" s="28" t="s">
        <v>46</v>
      </c>
      <c r="D103" s="16">
        <f>ROUND(D100*'Start Page'!$F$48,2)*$B$13</f>
        <v>0</v>
      </c>
      <c r="E103" s="16">
        <f>ROUND(E100*'Start Page'!$F$48,2)*$B$13</f>
        <v>0</v>
      </c>
      <c r="F103" s="16">
        <f>ROUND(F100*'Start Page'!$F$48,2)*$B$13</f>
        <v>0</v>
      </c>
      <c r="G103" s="16">
        <f>ROUND(G100*'Start Page'!$F$48,2)*$B$13</f>
        <v>0</v>
      </c>
      <c r="H103" s="16">
        <f>ROUND(H100*'Start Page'!$F$48,2)*$B$13</f>
        <v>0</v>
      </c>
      <c r="I103" s="16">
        <f>ROUND(I100*'Start Page'!$F$48,2)*$B$13</f>
        <v>0</v>
      </c>
      <c r="J103" s="16">
        <f>ROUND(J100*'Start Page'!$F$48,2)*$B$13</f>
        <v>0</v>
      </c>
      <c r="K103" s="16">
        <f>ROUND(K100*'Start Page'!$F$48,2)*$B$13</f>
        <v>0</v>
      </c>
      <c r="L103" s="16">
        <f>ROUND(L100*'Start Page'!$F$48,2)*$B$13</f>
        <v>0</v>
      </c>
      <c r="M103" s="16">
        <f>ROUND(M100*'Start Page'!$F$48,2)*$B$13</f>
        <v>0</v>
      </c>
    </row>
    <row r="104" spans="1:13" s="24" customFormat="1" x14ac:dyDescent="0.2">
      <c r="A104" s="12"/>
      <c r="B104" s="12">
        <f>B99+B101</f>
        <v>144</v>
      </c>
      <c r="C104" s="19" t="s">
        <v>17</v>
      </c>
      <c r="D104" s="20">
        <f t="shared" ref="D104:M104" si="54">D99+D101+D103</f>
        <v>4959.12</v>
      </c>
      <c r="E104" s="20">
        <f t="shared" si="54"/>
        <v>5072.54</v>
      </c>
      <c r="F104" s="20">
        <f t="shared" si="54"/>
        <v>5185.96</v>
      </c>
      <c r="G104" s="20">
        <f t="shared" si="54"/>
        <v>5299.3799999999992</v>
      </c>
      <c r="H104" s="20">
        <f t="shared" si="54"/>
        <v>5413.86</v>
      </c>
      <c r="I104" s="20">
        <f t="shared" si="54"/>
        <v>5527.28</v>
      </c>
      <c r="J104" s="20">
        <f t="shared" si="54"/>
        <v>5640.7</v>
      </c>
      <c r="K104" s="20">
        <f t="shared" si="54"/>
        <v>5755.18</v>
      </c>
      <c r="L104" s="20">
        <f t="shared" si="54"/>
        <v>5870.88</v>
      </c>
      <c r="M104" s="20">
        <f t="shared" si="54"/>
        <v>6024.96</v>
      </c>
    </row>
    <row r="105" spans="1:13" s="24" customFormat="1" x14ac:dyDescent="0.2">
      <c r="A105" s="12"/>
      <c r="B105" s="12"/>
      <c r="C105" s="19" t="s">
        <v>33</v>
      </c>
      <c r="D105" s="20">
        <f>D104*'Start Page'!$C$65</f>
        <v>128937.12</v>
      </c>
      <c r="E105" s="20">
        <f>E104*'Start Page'!$C$65</f>
        <v>131886.04</v>
      </c>
      <c r="F105" s="20">
        <f>F104*'Start Page'!$C$65</f>
        <v>134834.96</v>
      </c>
      <c r="G105" s="20">
        <f>G104*'Start Page'!$C$65</f>
        <v>137783.87999999998</v>
      </c>
      <c r="H105" s="20">
        <f>H104*'Start Page'!$C$65</f>
        <v>140760.35999999999</v>
      </c>
      <c r="I105" s="20">
        <f>I104*'Start Page'!$C$65</f>
        <v>143709.28</v>
      </c>
      <c r="J105" s="20">
        <f>J104*'Start Page'!$C$65</f>
        <v>146658.19999999998</v>
      </c>
      <c r="K105" s="20">
        <f>K104*'Start Page'!$C$65</f>
        <v>149634.68</v>
      </c>
      <c r="L105" s="20">
        <f>L104*'Start Page'!$C$65</f>
        <v>152642.88</v>
      </c>
      <c r="M105" s="20">
        <f>M104*'Start Page'!$C$65</f>
        <v>156648.95999999999</v>
      </c>
    </row>
    <row r="106" spans="1:13" s="24" customFormat="1" x14ac:dyDescent="0.2">
      <c r="A106" s="21"/>
      <c r="B106" s="21"/>
      <c r="C106" s="22" t="s">
        <v>71</v>
      </c>
      <c r="D106" s="23">
        <f>D100*$B$13*'Start Page'!$C$65</f>
        <v>120519.35999999999</v>
      </c>
      <c r="E106" s="23">
        <f>E100*$B$13*'Start Page'!$C$65</f>
        <v>124525.43999999999</v>
      </c>
      <c r="F106" s="23">
        <f>F100*$B$13*'Start Page'!$C$65</f>
        <v>128531.51999999999</v>
      </c>
      <c r="G106" s="23">
        <f>G100*$B$13*'Start Page'!$C$65</f>
        <v>132537.59999999998</v>
      </c>
      <c r="H106" s="23">
        <f>H100*$B$13*'Start Page'!$C$65</f>
        <v>136581.12</v>
      </c>
      <c r="I106" s="23">
        <f>I100*$B$13*'Start Page'!$C$65</f>
        <v>140587.19999999998</v>
      </c>
      <c r="J106" s="23">
        <f>J100*$B$13*'Start Page'!$C$65</f>
        <v>144593.28</v>
      </c>
      <c r="K106" s="23">
        <f>K100*$B$13*'Start Page'!$C$65</f>
        <v>148636.80000000002</v>
      </c>
      <c r="L106" s="23">
        <f>L100*$B$13*'Start Page'!$C$65</f>
        <v>152642.88</v>
      </c>
      <c r="M106" s="88">
        <f>M100*$B$13*'Start Page'!$C$65</f>
        <v>156648.96000000002</v>
      </c>
    </row>
    <row r="107" spans="1:13" x14ac:dyDescent="0.2">
      <c r="A107" s="12"/>
      <c r="B107" s="12"/>
      <c r="C107" s="13" t="s">
        <v>30</v>
      </c>
      <c r="D107" s="14">
        <f>'GS Pay Scale'!B20</f>
        <v>104821</v>
      </c>
      <c r="E107" s="14">
        <f>'GS Pay Scale'!C20</f>
        <v>108316</v>
      </c>
      <c r="F107" s="14">
        <f>'GS Pay Scale'!D20</f>
        <v>111810</v>
      </c>
      <c r="G107" s="14">
        <f>'GS Pay Scale'!E20</f>
        <v>115304</v>
      </c>
      <c r="H107" s="14">
        <f>'GS Pay Scale'!F20</f>
        <v>118799</v>
      </c>
      <c r="I107" s="14">
        <f>'GS Pay Scale'!G20</f>
        <v>122293</v>
      </c>
      <c r="J107" s="14">
        <f>'GS Pay Scale'!H20</f>
        <v>125788</v>
      </c>
      <c r="K107" s="14">
        <f>'GS Pay Scale'!I20</f>
        <v>129282</v>
      </c>
      <c r="L107" s="14">
        <f>'GS Pay Scale'!J20</f>
        <v>132776</v>
      </c>
      <c r="M107" s="14">
        <f>'GS Pay Scale'!K20</f>
        <v>136271</v>
      </c>
    </row>
    <row r="108" spans="1:13" x14ac:dyDescent="0.2">
      <c r="A108" s="12"/>
      <c r="B108" s="12">
        <v>106</v>
      </c>
      <c r="C108" s="15" t="s">
        <v>41</v>
      </c>
      <c r="D108" s="16">
        <f t="shared" ref="D108:M108" si="55">D109*106</f>
        <v>4031.1800000000003</v>
      </c>
      <c r="E108" s="16">
        <f t="shared" si="55"/>
        <v>4165.7999999999993</v>
      </c>
      <c r="F108" s="16">
        <f t="shared" si="55"/>
        <v>4300.42</v>
      </c>
      <c r="G108" s="16">
        <f t="shared" si="55"/>
        <v>4435.04</v>
      </c>
      <c r="H108" s="16">
        <f t="shared" si="55"/>
        <v>4569.66</v>
      </c>
      <c r="I108" s="16">
        <f t="shared" si="55"/>
        <v>4703.2199999999993</v>
      </c>
      <c r="J108" s="16">
        <f t="shared" si="55"/>
        <v>4837.84</v>
      </c>
      <c r="K108" s="16">
        <f t="shared" si="55"/>
        <v>4972.46</v>
      </c>
      <c r="L108" s="16">
        <f t="shared" si="55"/>
        <v>5107.08</v>
      </c>
      <c r="M108" s="16">
        <f t="shared" si="55"/>
        <v>5241.7000000000007</v>
      </c>
    </row>
    <row r="109" spans="1:13" x14ac:dyDescent="0.2">
      <c r="A109" s="12"/>
      <c r="B109" s="12"/>
      <c r="C109" s="15" t="s">
        <v>13</v>
      </c>
      <c r="D109" s="16">
        <f t="shared" ref="D109:M109" si="56">ROUND(D107/2756,2)</f>
        <v>38.03</v>
      </c>
      <c r="E109" s="16">
        <f t="shared" si="56"/>
        <v>39.299999999999997</v>
      </c>
      <c r="F109" s="16">
        <f t="shared" si="56"/>
        <v>40.57</v>
      </c>
      <c r="G109" s="16">
        <f t="shared" si="56"/>
        <v>41.84</v>
      </c>
      <c r="H109" s="16">
        <f t="shared" si="56"/>
        <v>43.11</v>
      </c>
      <c r="I109" s="16">
        <f t="shared" si="56"/>
        <v>44.37</v>
      </c>
      <c r="J109" s="16">
        <f t="shared" si="56"/>
        <v>45.64</v>
      </c>
      <c r="K109" s="16">
        <f t="shared" si="56"/>
        <v>46.91</v>
      </c>
      <c r="L109" s="16">
        <f t="shared" si="56"/>
        <v>48.18</v>
      </c>
      <c r="M109" s="16">
        <f t="shared" si="56"/>
        <v>49.45</v>
      </c>
    </row>
    <row r="110" spans="1:13" x14ac:dyDescent="0.2">
      <c r="A110" s="17"/>
      <c r="B110" s="18">
        <f>($G$3-53)*2</f>
        <v>38</v>
      </c>
      <c r="C110" s="15" t="s">
        <v>42</v>
      </c>
      <c r="D110" s="16">
        <f t="shared" ref="D110:M110" si="57">D111*$B$10</f>
        <v>1546.98</v>
      </c>
      <c r="E110" s="16">
        <f t="shared" si="57"/>
        <v>1546.98</v>
      </c>
      <c r="F110" s="16">
        <f t="shared" si="57"/>
        <v>1546.98</v>
      </c>
      <c r="G110" s="16">
        <f t="shared" si="57"/>
        <v>1589.92</v>
      </c>
      <c r="H110" s="16">
        <f t="shared" si="57"/>
        <v>1638.18</v>
      </c>
      <c r="I110" s="16">
        <f t="shared" si="57"/>
        <v>1686.06</v>
      </c>
      <c r="J110" s="16">
        <f t="shared" si="57"/>
        <v>1734.32</v>
      </c>
      <c r="K110" s="16">
        <f t="shared" si="57"/>
        <v>1782.58</v>
      </c>
      <c r="L110" s="16">
        <f t="shared" si="57"/>
        <v>1830.84</v>
      </c>
      <c r="M110" s="16">
        <f t="shared" si="57"/>
        <v>1879.1000000000001</v>
      </c>
    </row>
    <row r="111" spans="1:13" x14ac:dyDescent="0.2">
      <c r="A111" s="12" t="s">
        <v>117</v>
      </c>
      <c r="B111" s="12"/>
      <c r="C111" s="15" t="s">
        <v>14</v>
      </c>
      <c r="D111" s="16">
        <f t="shared" ref="D111:M111" si="58">IF(ROUND(D109*1.5,2)&lt;$G$122,ROUND(D109*1.5,2),IF($G$122&lt;D109,D109,$G$122))</f>
        <v>40.71</v>
      </c>
      <c r="E111" s="16">
        <f t="shared" si="58"/>
        <v>40.71</v>
      </c>
      <c r="F111" s="16">
        <f t="shared" si="58"/>
        <v>40.71</v>
      </c>
      <c r="G111" s="16">
        <f t="shared" si="58"/>
        <v>41.84</v>
      </c>
      <c r="H111" s="16">
        <f t="shared" si="58"/>
        <v>43.11</v>
      </c>
      <c r="I111" s="16">
        <f t="shared" si="58"/>
        <v>44.37</v>
      </c>
      <c r="J111" s="16">
        <f t="shared" si="58"/>
        <v>45.64</v>
      </c>
      <c r="K111" s="16">
        <f t="shared" si="58"/>
        <v>46.91</v>
      </c>
      <c r="L111" s="16">
        <f t="shared" si="58"/>
        <v>48.18</v>
      </c>
      <c r="M111" s="16">
        <f t="shared" si="58"/>
        <v>49.45</v>
      </c>
    </row>
    <row r="112" spans="1:13" s="1" customFormat="1" x14ac:dyDescent="0.2">
      <c r="A112" s="51"/>
      <c r="B112" s="51"/>
      <c r="C112" s="28" t="s">
        <v>46</v>
      </c>
      <c r="D112" s="16">
        <f>ROUND(D109*'Start Page'!$F$48,2)*$B$13</f>
        <v>0</v>
      </c>
      <c r="E112" s="16">
        <f>ROUND(E109*'Start Page'!$F$48,2)*$B$13</f>
        <v>0</v>
      </c>
      <c r="F112" s="16">
        <f>ROUND(F109*'Start Page'!$F$48,2)*$B$13</f>
        <v>0</v>
      </c>
      <c r="G112" s="16">
        <f>ROUND(G109*'Start Page'!$F$48,2)*$B$13</f>
        <v>0</v>
      </c>
      <c r="H112" s="16">
        <f>ROUND(H109*'Start Page'!$F$48,2)*$B$13</f>
        <v>0</v>
      </c>
      <c r="I112" s="16">
        <f>ROUND(I109*'Start Page'!$F$48,2)*$B$13</f>
        <v>0</v>
      </c>
      <c r="J112" s="16">
        <f>ROUND(J109*'Start Page'!$F$48,2)*$B$13</f>
        <v>0</v>
      </c>
      <c r="K112" s="16">
        <f>ROUND(K109*'Start Page'!$F$48,2)*$B$13</f>
        <v>0</v>
      </c>
      <c r="L112" s="16">
        <f>ROUND(L109*'Start Page'!$F$48,2)*$B$13</f>
        <v>0</v>
      </c>
      <c r="M112" s="16">
        <f>ROUND(M109*'Start Page'!$F$48,2)*$B$13</f>
        <v>0</v>
      </c>
    </row>
    <row r="113" spans="1:13" x14ac:dyDescent="0.2">
      <c r="A113" s="12"/>
      <c r="B113" s="12">
        <f>B108+B110</f>
        <v>144</v>
      </c>
      <c r="C113" s="19" t="s">
        <v>17</v>
      </c>
      <c r="D113" s="20">
        <f t="shared" ref="D113:M113" si="59">D108+D110+D112</f>
        <v>5578.16</v>
      </c>
      <c r="E113" s="20">
        <f t="shared" si="59"/>
        <v>5712.7799999999988</v>
      </c>
      <c r="F113" s="20">
        <f t="shared" si="59"/>
        <v>5847.4</v>
      </c>
      <c r="G113" s="20">
        <f t="shared" si="59"/>
        <v>6024.96</v>
      </c>
      <c r="H113" s="20">
        <f t="shared" si="59"/>
        <v>6207.84</v>
      </c>
      <c r="I113" s="20">
        <f t="shared" si="59"/>
        <v>6389.2799999999988</v>
      </c>
      <c r="J113" s="20">
        <f t="shared" si="59"/>
        <v>6572.16</v>
      </c>
      <c r="K113" s="20">
        <f t="shared" si="59"/>
        <v>6755.04</v>
      </c>
      <c r="L113" s="20">
        <f t="shared" si="59"/>
        <v>6937.92</v>
      </c>
      <c r="M113" s="20">
        <f t="shared" si="59"/>
        <v>7120.8000000000011</v>
      </c>
    </row>
    <row r="114" spans="1:13" x14ac:dyDescent="0.2">
      <c r="A114" s="12"/>
      <c r="B114" s="12"/>
      <c r="C114" s="19" t="s">
        <v>33</v>
      </c>
      <c r="D114" s="20">
        <f>D113*'Start Page'!$C$65</f>
        <v>145032.16</v>
      </c>
      <c r="E114" s="20">
        <f>E113*'Start Page'!$C$65</f>
        <v>148532.27999999997</v>
      </c>
      <c r="F114" s="20">
        <f>F113*'Start Page'!$C$65</f>
        <v>152032.4</v>
      </c>
      <c r="G114" s="20">
        <f>G113*'Start Page'!$C$65</f>
        <v>156648.95999999999</v>
      </c>
      <c r="H114" s="20">
        <f>H113*'Start Page'!$C$65</f>
        <v>161403.84</v>
      </c>
      <c r="I114" s="20">
        <f>I113*'Start Page'!$C$65</f>
        <v>166121.27999999997</v>
      </c>
      <c r="J114" s="20">
        <f>J113*'Start Page'!$C$65</f>
        <v>170876.16</v>
      </c>
      <c r="K114" s="20">
        <f>K113*'Start Page'!$C$65</f>
        <v>175631.04</v>
      </c>
      <c r="L114" s="20">
        <f>L113*'Start Page'!$C$65</f>
        <v>180385.92000000001</v>
      </c>
      <c r="M114" s="20">
        <f>M113*'Start Page'!$C$65</f>
        <v>185140.80000000002</v>
      </c>
    </row>
    <row r="115" spans="1:13" s="24" customFormat="1" x14ac:dyDescent="0.2">
      <c r="A115" s="21"/>
      <c r="B115" s="21"/>
      <c r="C115" s="22" t="s">
        <v>71</v>
      </c>
      <c r="D115" s="23">
        <f>D109*$B$13*'Start Page'!$C$65</f>
        <v>142384.32000000001</v>
      </c>
      <c r="E115" s="23">
        <f>E109*$B$13*'Start Page'!$C$65</f>
        <v>147139.19999999998</v>
      </c>
      <c r="F115" s="23">
        <f>F109*$B$13*'Start Page'!$C$65</f>
        <v>151894.07999999999</v>
      </c>
      <c r="G115" s="23">
        <f>G109*$B$13*'Start Page'!$C$65</f>
        <v>156648.96000000002</v>
      </c>
      <c r="H115" s="23">
        <f>H109*$B$13*'Start Page'!$C$65</f>
        <v>161403.84</v>
      </c>
      <c r="I115" s="23">
        <f>I109*$B$13*'Start Page'!$C$65</f>
        <v>166121.28</v>
      </c>
      <c r="J115" s="23">
        <f>J109*$B$13*'Start Page'!$C$65</f>
        <v>170876.16</v>
      </c>
      <c r="K115" s="23">
        <f>K109*$B$13*'Start Page'!$C$65</f>
        <v>175631.03999999998</v>
      </c>
      <c r="L115" s="23">
        <f>L109*$B$13*'Start Page'!$C$65</f>
        <v>180385.92000000001</v>
      </c>
      <c r="M115" s="88">
        <f>M109*$B$13*'Start Page'!$C$65</f>
        <v>185140.80000000002</v>
      </c>
    </row>
    <row r="116" spans="1:13" x14ac:dyDescent="0.2">
      <c r="A116" s="10" t="s">
        <v>118</v>
      </c>
      <c r="B116" s="10"/>
    </row>
    <row r="117" spans="1:13" x14ac:dyDescent="0.2">
      <c r="A117" s="10" t="s">
        <v>72</v>
      </c>
      <c r="B117" s="10"/>
    </row>
    <row r="118" spans="1:13" x14ac:dyDescent="0.2">
      <c r="A118" s="10"/>
      <c r="B118" s="10"/>
    </row>
    <row r="119" spans="1:13" x14ac:dyDescent="0.2">
      <c r="A119" s="10" t="s">
        <v>73</v>
      </c>
      <c r="B119" s="10"/>
    </row>
    <row r="120" spans="1:13" x14ac:dyDescent="0.2">
      <c r="A120" s="10" t="s">
        <v>74</v>
      </c>
      <c r="B120" s="10"/>
      <c r="G120" s="27"/>
    </row>
    <row r="121" spans="1:13" x14ac:dyDescent="0.2">
      <c r="A121" s="10" t="s">
        <v>19</v>
      </c>
    </row>
    <row r="122" spans="1:13" x14ac:dyDescent="0.2">
      <c r="A122" s="10" t="s">
        <v>32</v>
      </c>
      <c r="B122" s="10"/>
      <c r="G122" s="27">
        <f>ROUND(ROUND(D71/2087,2)*1.5,2)</f>
        <v>40.71</v>
      </c>
      <c r="H122" s="10"/>
    </row>
    <row r="124" spans="1:13" x14ac:dyDescent="0.2">
      <c r="A124" s="10" t="s">
        <v>36</v>
      </c>
      <c r="B124" s="10"/>
    </row>
  </sheetData>
  <sheetProtection password="CCE4" sheet="1" objects="1" scenarios="1"/>
  <mergeCells count="2">
    <mergeCell ref="F4:I4"/>
    <mergeCell ref="G5:H5"/>
  </mergeCells>
  <phoneticPr fontId="0" type="noConversion"/>
  <hyperlinks>
    <hyperlink ref="G5:H5" location="'Start Page'!C19" display="Return to Start Page" xr:uid="{00000000-0004-0000-0600-000000000000}"/>
  </hyperlinks>
  <printOptions horizontalCentered="1" verticalCentered="1"/>
  <pageMargins left="0.5" right="0.5" top="0.5" bottom="0.5" header="0.5" footer="0.5"/>
  <pageSetup scale="68" fitToHeight="2" orientation="landscape" horizontalDpi="4294967294" verticalDpi="300" r:id="rId1"/>
  <headerFooter alignWithMargins="0"/>
  <rowBreaks count="1" manualBreakCount="1">
    <brk id="60" max="16383" man="1"/>
  </rowBreaks>
  <legacyDrawing r:id="rId2"/>
  <picture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51"/>
  <sheetViews>
    <sheetView showGridLines="0" zoomScaleNormal="100" workbookViewId="0">
      <pane xSplit="3" ySplit="6" topLeftCell="D7" activePane="bottomRight" state="frozen"/>
      <selection pane="topRight" activeCell="D1" sqref="D1"/>
      <selection pane="bottomLeft" activeCell="A7" sqref="A7"/>
      <selection pane="bottomRight" activeCell="G5" sqref="G5:H5"/>
    </sheetView>
  </sheetViews>
  <sheetFormatPr defaultRowHeight="12.75" x14ac:dyDescent="0.2"/>
  <cols>
    <col min="1" max="1" width="7.140625" style="32" customWidth="1"/>
    <col min="2" max="2" width="7.140625" style="1" customWidth="1"/>
    <col min="3" max="3" width="13.5703125" style="1" customWidth="1"/>
    <col min="4" max="13" width="12.7109375" style="1" customWidth="1"/>
    <col min="14" max="16384" width="9.140625" style="1"/>
  </cols>
  <sheetData>
    <row r="1" spans="1:13" customFormat="1" ht="25.5" customHeight="1" x14ac:dyDescent="0.4">
      <c r="E1" s="7">
        <f>'Start Page'!$C$63</f>
        <v>2019</v>
      </c>
      <c r="F1" s="8" t="s">
        <v>35</v>
      </c>
    </row>
    <row r="2" spans="1:13" customFormat="1" ht="25.5" customHeight="1" x14ac:dyDescent="0.4">
      <c r="E2" s="7"/>
      <c r="G2" s="69" t="s">
        <v>69</v>
      </c>
      <c r="H2" s="9" t="str">
        <f>'Start Page'!C46</f>
        <v>Rest of the United States</v>
      </c>
    </row>
    <row r="3" spans="1:13" customFormat="1" ht="25.5" customHeight="1" x14ac:dyDescent="0.4">
      <c r="G3" s="7">
        <f>'Start Page'!C33</f>
        <v>60</v>
      </c>
      <c r="H3" s="8" t="s">
        <v>40</v>
      </c>
    </row>
    <row r="4" spans="1:13" customFormat="1" ht="12.75" customHeight="1" x14ac:dyDescent="0.2">
      <c r="F4" s="131" t="str">
        <f>IF(E1='GS Pay Calculator'!B2,"","Warning! These pay figures are now estimates only!")</f>
        <v/>
      </c>
      <c r="G4" s="131"/>
      <c r="H4" s="131"/>
      <c r="I4" s="131"/>
    </row>
    <row r="5" spans="1:13" customFormat="1" ht="12.75" customHeight="1" x14ac:dyDescent="0.2">
      <c r="G5" s="115" t="s">
        <v>93</v>
      </c>
      <c r="H5" s="115"/>
    </row>
    <row r="6" spans="1:13" x14ac:dyDescent="0.2">
      <c r="A6" s="11" t="s">
        <v>0</v>
      </c>
      <c r="B6" s="11" t="s">
        <v>43</v>
      </c>
      <c r="C6" s="11" t="s">
        <v>1</v>
      </c>
      <c r="D6" s="11" t="s">
        <v>2</v>
      </c>
      <c r="E6" s="11" t="s">
        <v>3</v>
      </c>
      <c r="F6" s="11" t="s">
        <v>4</v>
      </c>
      <c r="G6" s="11" t="s">
        <v>5</v>
      </c>
      <c r="H6" s="11" t="s">
        <v>6</v>
      </c>
      <c r="I6" s="11" t="s">
        <v>7</v>
      </c>
      <c r="J6" s="11" t="s">
        <v>8</v>
      </c>
      <c r="K6" s="11" t="s">
        <v>9</v>
      </c>
      <c r="L6" s="11" t="s">
        <v>10</v>
      </c>
      <c r="M6" s="11" t="s">
        <v>11</v>
      </c>
    </row>
    <row r="7" spans="1:13" x14ac:dyDescent="0.2">
      <c r="A7" s="12"/>
      <c r="B7" s="12"/>
      <c r="C7" s="15" t="s">
        <v>30</v>
      </c>
      <c r="D7" s="87">
        <f>'GS Pay Scale'!B9</f>
        <v>27030</v>
      </c>
      <c r="E7" s="87">
        <f>'GS Pay Scale'!C9</f>
        <v>27931</v>
      </c>
      <c r="F7" s="87">
        <f>'GS Pay Scale'!D9</f>
        <v>28832</v>
      </c>
      <c r="G7" s="87">
        <f>'GS Pay Scale'!E9</f>
        <v>29733</v>
      </c>
      <c r="H7" s="87">
        <f>'GS Pay Scale'!F9</f>
        <v>30634</v>
      </c>
      <c r="I7" s="87">
        <f>'GS Pay Scale'!G9</f>
        <v>31535</v>
      </c>
      <c r="J7" s="87">
        <f>'GS Pay Scale'!H9</f>
        <v>32436</v>
      </c>
      <c r="K7" s="87">
        <f>'GS Pay Scale'!I9</f>
        <v>33337</v>
      </c>
      <c r="L7" s="87">
        <f>'GS Pay Scale'!J9</f>
        <v>34238</v>
      </c>
      <c r="M7" s="87">
        <f>'GS Pay Scale'!K9</f>
        <v>35139</v>
      </c>
    </row>
    <row r="8" spans="1:13" x14ac:dyDescent="0.2">
      <c r="A8" s="12"/>
      <c r="B8" s="12">
        <v>80</v>
      </c>
      <c r="C8" s="28" t="s">
        <v>44</v>
      </c>
      <c r="D8" s="87">
        <f>D9*80</f>
        <v>1036</v>
      </c>
      <c r="E8" s="87">
        <f t="shared" ref="E8:M8" si="0">E9*80</f>
        <v>1070.4000000000001</v>
      </c>
      <c r="F8" s="87">
        <f t="shared" si="0"/>
        <v>1105.5999999999999</v>
      </c>
      <c r="G8" s="87">
        <f t="shared" si="0"/>
        <v>1140</v>
      </c>
      <c r="H8" s="87">
        <f t="shared" si="0"/>
        <v>1174.4000000000001</v>
      </c>
      <c r="I8" s="87">
        <f t="shared" si="0"/>
        <v>1208.8</v>
      </c>
      <c r="J8" s="87">
        <f t="shared" si="0"/>
        <v>1243.1999999999998</v>
      </c>
      <c r="K8" s="87">
        <f t="shared" si="0"/>
        <v>1277.6000000000001</v>
      </c>
      <c r="L8" s="87">
        <f t="shared" si="0"/>
        <v>1312.8</v>
      </c>
      <c r="M8" s="87">
        <f t="shared" si="0"/>
        <v>1347.2</v>
      </c>
    </row>
    <row r="9" spans="1:13" x14ac:dyDescent="0.2">
      <c r="A9" s="12"/>
      <c r="B9" s="12"/>
      <c r="C9" s="28" t="s">
        <v>20</v>
      </c>
      <c r="D9" s="29">
        <f>ROUND(D7/2087,2)</f>
        <v>12.95</v>
      </c>
      <c r="E9" s="29">
        <f t="shared" ref="E9:M9" si="1">ROUND(E7/2087,2)</f>
        <v>13.38</v>
      </c>
      <c r="F9" s="29">
        <f t="shared" si="1"/>
        <v>13.82</v>
      </c>
      <c r="G9" s="29">
        <f t="shared" si="1"/>
        <v>14.25</v>
      </c>
      <c r="H9" s="29">
        <f t="shared" si="1"/>
        <v>14.68</v>
      </c>
      <c r="I9" s="29">
        <f t="shared" si="1"/>
        <v>15.11</v>
      </c>
      <c r="J9" s="29">
        <f t="shared" si="1"/>
        <v>15.54</v>
      </c>
      <c r="K9" s="29">
        <f t="shared" si="1"/>
        <v>15.97</v>
      </c>
      <c r="L9" s="29">
        <f t="shared" si="1"/>
        <v>16.41</v>
      </c>
      <c r="M9" s="29">
        <f t="shared" si="1"/>
        <v>16.84</v>
      </c>
    </row>
    <row r="10" spans="1:13" x14ac:dyDescent="0.2">
      <c r="A10" s="12"/>
      <c r="B10" s="12">
        <v>26</v>
      </c>
      <c r="C10" s="15" t="s">
        <v>41</v>
      </c>
      <c r="D10" s="29">
        <f>D11*26</f>
        <v>255.06</v>
      </c>
      <c r="E10" s="29">
        <f t="shared" ref="E10:M10" si="2">E11*26</f>
        <v>263.38</v>
      </c>
      <c r="F10" s="29">
        <f t="shared" si="2"/>
        <v>271.96000000000004</v>
      </c>
      <c r="G10" s="29">
        <f t="shared" si="2"/>
        <v>280.53999999999996</v>
      </c>
      <c r="H10" s="29">
        <f t="shared" si="2"/>
        <v>289.12</v>
      </c>
      <c r="I10" s="29">
        <f t="shared" si="2"/>
        <v>297.44</v>
      </c>
      <c r="J10" s="29">
        <f t="shared" si="2"/>
        <v>306.02</v>
      </c>
      <c r="K10" s="29">
        <f t="shared" si="2"/>
        <v>314.59999999999997</v>
      </c>
      <c r="L10" s="29">
        <f t="shared" si="2"/>
        <v>322.92</v>
      </c>
      <c r="M10" s="29">
        <f t="shared" si="2"/>
        <v>331.5</v>
      </c>
    </row>
    <row r="11" spans="1:13" x14ac:dyDescent="0.2">
      <c r="A11" s="12"/>
      <c r="B11" s="12"/>
      <c r="C11" s="15" t="s">
        <v>13</v>
      </c>
      <c r="D11" s="29">
        <f>ROUND(D7/2756,2)</f>
        <v>9.81</v>
      </c>
      <c r="E11" s="29">
        <f t="shared" ref="E11:M11" si="3">ROUND(E7/2756,2)</f>
        <v>10.130000000000001</v>
      </c>
      <c r="F11" s="29">
        <f t="shared" si="3"/>
        <v>10.46</v>
      </c>
      <c r="G11" s="29">
        <f t="shared" si="3"/>
        <v>10.79</v>
      </c>
      <c r="H11" s="29">
        <f t="shared" si="3"/>
        <v>11.12</v>
      </c>
      <c r="I11" s="29">
        <f t="shared" si="3"/>
        <v>11.44</v>
      </c>
      <c r="J11" s="29">
        <f t="shared" si="3"/>
        <v>11.77</v>
      </c>
      <c r="K11" s="29">
        <f t="shared" si="3"/>
        <v>12.1</v>
      </c>
      <c r="L11" s="29">
        <f t="shared" si="3"/>
        <v>12.42</v>
      </c>
      <c r="M11" s="29">
        <f t="shared" si="3"/>
        <v>12.75</v>
      </c>
    </row>
    <row r="12" spans="1:13" x14ac:dyDescent="0.2">
      <c r="A12" s="12" t="s">
        <v>22</v>
      </c>
      <c r="B12" s="18">
        <f>($G$3-53)*2</f>
        <v>14</v>
      </c>
      <c r="C12" s="15" t="s">
        <v>42</v>
      </c>
      <c r="D12" s="29">
        <f>D13*$B$12</f>
        <v>206.08</v>
      </c>
      <c r="E12" s="29">
        <f t="shared" ref="E12:M12" si="4">E13*$B$12</f>
        <v>212.79999999999998</v>
      </c>
      <c r="F12" s="29">
        <f t="shared" si="4"/>
        <v>219.66</v>
      </c>
      <c r="G12" s="29">
        <f t="shared" si="4"/>
        <v>226.66000000000003</v>
      </c>
      <c r="H12" s="29">
        <f t="shared" si="4"/>
        <v>233.51999999999998</v>
      </c>
      <c r="I12" s="29">
        <f t="shared" si="4"/>
        <v>240.24</v>
      </c>
      <c r="J12" s="29">
        <f t="shared" si="4"/>
        <v>247.24</v>
      </c>
      <c r="K12" s="29">
        <f t="shared" si="4"/>
        <v>254.09999999999997</v>
      </c>
      <c r="L12" s="29">
        <f t="shared" si="4"/>
        <v>260.82</v>
      </c>
      <c r="M12" s="29">
        <f t="shared" si="4"/>
        <v>267.82</v>
      </c>
    </row>
    <row r="13" spans="1:13" x14ac:dyDescent="0.2">
      <c r="A13" s="12"/>
      <c r="B13" s="12"/>
      <c r="C13" s="15" t="s">
        <v>14</v>
      </c>
      <c r="D13" s="16">
        <f>IF(ROUND(D11*1.5,2)&lt;$G$149,ROUND(D11*1.5,2),IF($G$149&lt;D11,D11,$G$149))</f>
        <v>14.72</v>
      </c>
      <c r="E13" s="16">
        <f t="shared" ref="E13:M13" si="5">IF(ROUND(E11*1.5,2)&lt;$G$149,ROUND(E11*1.5,2),IF($G$149&lt;E11,E11,$G$149))</f>
        <v>15.2</v>
      </c>
      <c r="F13" s="16">
        <f t="shared" si="5"/>
        <v>15.69</v>
      </c>
      <c r="G13" s="16">
        <f t="shared" si="5"/>
        <v>16.190000000000001</v>
      </c>
      <c r="H13" s="16">
        <f t="shared" si="5"/>
        <v>16.68</v>
      </c>
      <c r="I13" s="16">
        <f t="shared" si="5"/>
        <v>17.16</v>
      </c>
      <c r="J13" s="16">
        <f t="shared" si="5"/>
        <v>17.66</v>
      </c>
      <c r="K13" s="16">
        <f t="shared" si="5"/>
        <v>18.149999999999999</v>
      </c>
      <c r="L13" s="16">
        <f t="shared" si="5"/>
        <v>18.63</v>
      </c>
      <c r="M13" s="16">
        <f t="shared" si="5"/>
        <v>19.13</v>
      </c>
    </row>
    <row r="14" spans="1:13" x14ac:dyDescent="0.2">
      <c r="A14" s="51"/>
      <c r="B14" s="51"/>
      <c r="C14" s="28" t="s">
        <v>46</v>
      </c>
      <c r="D14" s="16">
        <f>(ROUND(D9*'Start Page'!$F$48,2)*80)+(ROUND(D11*'Start Page'!$F$48,2)*($B$15-80))</f>
        <v>0</v>
      </c>
      <c r="E14" s="16">
        <f>(ROUND(E9*'Start Page'!$F$48,2)*80)+(ROUND(E11*'Start Page'!$F$48,2)*($B$15-80))</f>
        <v>0</v>
      </c>
      <c r="F14" s="16">
        <f>(ROUND(F9*'Start Page'!$F$48,2)*80)+(ROUND(F11*'Start Page'!$F$48,2)*($B$15-80))</f>
        <v>0</v>
      </c>
      <c r="G14" s="16">
        <f>(ROUND(G9*'Start Page'!$F$48,2)*80)+(ROUND(G11*'Start Page'!$F$48,2)*($B$15-80))</f>
        <v>0</v>
      </c>
      <c r="H14" s="16">
        <f>(ROUND(H9*'Start Page'!$F$48,2)*80)+(ROUND(H11*'Start Page'!$F$48,2)*($B$15-80))</f>
        <v>0</v>
      </c>
      <c r="I14" s="16">
        <f>(ROUND(I9*'Start Page'!$F$48,2)*80)+(ROUND(I11*'Start Page'!$F$48,2)*($B$15-80))</f>
        <v>0</v>
      </c>
      <c r="J14" s="16">
        <f>(ROUND(J9*'Start Page'!$F$48,2)*80)+(ROUND(J11*'Start Page'!$F$48,2)*($B$15-80))</f>
        <v>0</v>
      </c>
      <c r="K14" s="16">
        <f>(ROUND(K9*'Start Page'!$F$48,2)*80)+(ROUND(K11*'Start Page'!$F$48,2)*($B$15-80))</f>
        <v>0</v>
      </c>
      <c r="L14" s="16">
        <f>(ROUND(L9*'Start Page'!$F$48,2)*80)+(ROUND(L11*'Start Page'!$F$48,2)*($B$15-80))</f>
        <v>0</v>
      </c>
      <c r="M14" s="16">
        <f>(ROUND(M9*'Start Page'!$F$48,2)*80)+(ROUND(M11*'Start Page'!$F$48,2)*($B$15-80))</f>
        <v>0</v>
      </c>
    </row>
    <row r="15" spans="1:13" x14ac:dyDescent="0.2">
      <c r="A15" s="12"/>
      <c r="B15" s="12">
        <f>B8+B10+B12</f>
        <v>120</v>
      </c>
      <c r="C15" s="19" t="s">
        <v>17</v>
      </c>
      <c r="D15" s="30">
        <f>D8+D10+D12+D14</f>
        <v>1497.1399999999999</v>
      </c>
      <c r="E15" s="30">
        <f t="shared" ref="E15:M15" si="6">E8+E10+E12+E14</f>
        <v>1546.5800000000002</v>
      </c>
      <c r="F15" s="30">
        <f t="shared" si="6"/>
        <v>1597.22</v>
      </c>
      <c r="G15" s="30">
        <f t="shared" si="6"/>
        <v>1647.2</v>
      </c>
      <c r="H15" s="30">
        <f t="shared" si="6"/>
        <v>1697.04</v>
      </c>
      <c r="I15" s="30">
        <f t="shared" si="6"/>
        <v>1746.48</v>
      </c>
      <c r="J15" s="30">
        <f t="shared" si="6"/>
        <v>1796.4599999999998</v>
      </c>
      <c r="K15" s="30">
        <f t="shared" si="6"/>
        <v>1846.3</v>
      </c>
      <c r="L15" s="30">
        <f t="shared" si="6"/>
        <v>1896.54</v>
      </c>
      <c r="M15" s="30">
        <f t="shared" si="6"/>
        <v>1946.52</v>
      </c>
    </row>
    <row r="16" spans="1:13" x14ac:dyDescent="0.2">
      <c r="A16" s="12"/>
      <c r="B16" s="12"/>
      <c r="C16" s="19" t="s">
        <v>33</v>
      </c>
      <c r="D16" s="30">
        <f>D15*'Start Page'!$C$65</f>
        <v>38925.64</v>
      </c>
      <c r="E16" s="30">
        <f>E15*'Start Page'!$C$65</f>
        <v>40211.08</v>
      </c>
      <c r="F16" s="30">
        <f>F15*'Start Page'!$C$65</f>
        <v>41527.72</v>
      </c>
      <c r="G16" s="30">
        <f>G15*'Start Page'!$C$65</f>
        <v>42827.200000000004</v>
      </c>
      <c r="H16" s="30">
        <f>H15*'Start Page'!$C$65</f>
        <v>44123.040000000001</v>
      </c>
      <c r="I16" s="30">
        <f>I15*'Start Page'!$C$65</f>
        <v>45408.480000000003</v>
      </c>
      <c r="J16" s="30">
        <f>J15*'Start Page'!$C$65</f>
        <v>46707.959999999992</v>
      </c>
      <c r="K16" s="30">
        <f>K15*'Start Page'!$C$65</f>
        <v>48003.799999999996</v>
      </c>
      <c r="L16" s="30">
        <f>L15*'Start Page'!$C$65</f>
        <v>49310.04</v>
      </c>
      <c r="M16" s="30">
        <f>M15*'Start Page'!$C$65</f>
        <v>50609.52</v>
      </c>
    </row>
    <row r="17" spans="1:13" s="24" customFormat="1" x14ac:dyDescent="0.2">
      <c r="A17" s="21"/>
      <c r="B17" s="21"/>
      <c r="C17" s="22" t="s">
        <v>71</v>
      </c>
      <c r="D17" s="31">
        <f>((D9*80)+(D11*($B$15-80)))*'Start Page'!$C$65</f>
        <v>37138.400000000001</v>
      </c>
      <c r="E17" s="31">
        <f>((E9*80)+(E11*($B$15-80)))*'Start Page'!$C$65</f>
        <v>38365.600000000006</v>
      </c>
      <c r="F17" s="31">
        <f>((F9*80)+(F11*($B$15-80)))*'Start Page'!$C$65</f>
        <v>39624</v>
      </c>
      <c r="G17" s="31">
        <f>((G9*80)+(G11*($B$15-80)))*'Start Page'!$C$65</f>
        <v>40861.599999999999</v>
      </c>
      <c r="H17" s="31">
        <f>((H9*80)+(H11*($B$15-80)))*'Start Page'!$C$65</f>
        <v>42099.200000000004</v>
      </c>
      <c r="I17" s="31">
        <f>((I9*80)+(I11*($B$15-80)))*'Start Page'!$C$65</f>
        <v>43326.399999999994</v>
      </c>
      <c r="J17" s="31">
        <f>((J9*80)+(J11*($B$15-80)))*'Start Page'!$C$65</f>
        <v>44563.999999999993</v>
      </c>
      <c r="K17" s="31">
        <f>((K9*80)+(K11*($B$15-80)))*'Start Page'!$C$65</f>
        <v>45801.600000000006</v>
      </c>
      <c r="L17" s="31">
        <f>((L9*80)+(L11*($B$15-80)))*'Start Page'!$C$65</f>
        <v>47049.599999999999</v>
      </c>
      <c r="M17" s="89">
        <f>((M9*80)+(M11*($B$15-80)))*'Start Page'!$C$65</f>
        <v>48287.200000000004</v>
      </c>
    </row>
    <row r="18" spans="1:13" x14ac:dyDescent="0.2">
      <c r="A18" s="12"/>
      <c r="B18" s="25"/>
      <c r="C18" s="13" t="s">
        <v>30</v>
      </c>
      <c r="D18" s="86">
        <f>'GS Pay Scale'!B10</f>
        <v>30344</v>
      </c>
      <c r="E18" s="86">
        <f>'GS Pay Scale'!C10</f>
        <v>31355</v>
      </c>
      <c r="F18" s="86">
        <f>'GS Pay Scale'!D10</f>
        <v>32366</v>
      </c>
      <c r="G18" s="86">
        <f>'GS Pay Scale'!E10</f>
        <v>33377</v>
      </c>
      <c r="H18" s="86">
        <f>'GS Pay Scale'!F10</f>
        <v>34388</v>
      </c>
      <c r="I18" s="86">
        <f>'GS Pay Scale'!G10</f>
        <v>35398</v>
      </c>
      <c r="J18" s="86">
        <f>'GS Pay Scale'!H10</f>
        <v>36409</v>
      </c>
      <c r="K18" s="86">
        <f>'GS Pay Scale'!I10</f>
        <v>37420</v>
      </c>
      <c r="L18" s="86">
        <f>'GS Pay Scale'!J10</f>
        <v>38431</v>
      </c>
      <c r="M18" s="86">
        <f>'GS Pay Scale'!K10</f>
        <v>39442</v>
      </c>
    </row>
    <row r="19" spans="1:13" x14ac:dyDescent="0.2">
      <c r="A19" s="12"/>
      <c r="B19" s="12">
        <v>80</v>
      </c>
      <c r="C19" s="28" t="s">
        <v>44</v>
      </c>
      <c r="D19" s="87">
        <f t="shared" ref="D19:M19" si="7">D20*80</f>
        <v>1163.1999999999998</v>
      </c>
      <c r="E19" s="87">
        <f t="shared" si="7"/>
        <v>1201.5999999999999</v>
      </c>
      <c r="F19" s="87">
        <f t="shared" si="7"/>
        <v>1240.8</v>
      </c>
      <c r="G19" s="87">
        <f t="shared" si="7"/>
        <v>1279.2</v>
      </c>
      <c r="H19" s="87">
        <f t="shared" si="7"/>
        <v>1318.4</v>
      </c>
      <c r="I19" s="87">
        <f t="shared" si="7"/>
        <v>1356.8000000000002</v>
      </c>
      <c r="J19" s="87">
        <f t="shared" si="7"/>
        <v>1396</v>
      </c>
      <c r="K19" s="87">
        <f t="shared" si="7"/>
        <v>1434.4</v>
      </c>
      <c r="L19" s="87">
        <f t="shared" si="7"/>
        <v>1472.8</v>
      </c>
      <c r="M19" s="87">
        <f t="shared" si="7"/>
        <v>1512</v>
      </c>
    </row>
    <row r="20" spans="1:13" x14ac:dyDescent="0.2">
      <c r="A20" s="12"/>
      <c r="B20" s="12"/>
      <c r="C20" s="28" t="s">
        <v>20</v>
      </c>
      <c r="D20" s="29">
        <f t="shared" ref="D20:M20" si="8">ROUND(D18/2087,2)</f>
        <v>14.54</v>
      </c>
      <c r="E20" s="29">
        <f t="shared" si="8"/>
        <v>15.02</v>
      </c>
      <c r="F20" s="29">
        <f t="shared" si="8"/>
        <v>15.51</v>
      </c>
      <c r="G20" s="29">
        <f t="shared" si="8"/>
        <v>15.99</v>
      </c>
      <c r="H20" s="29">
        <f t="shared" si="8"/>
        <v>16.48</v>
      </c>
      <c r="I20" s="29">
        <f t="shared" si="8"/>
        <v>16.96</v>
      </c>
      <c r="J20" s="29">
        <f t="shared" si="8"/>
        <v>17.45</v>
      </c>
      <c r="K20" s="29">
        <f t="shared" si="8"/>
        <v>17.93</v>
      </c>
      <c r="L20" s="29">
        <f t="shared" si="8"/>
        <v>18.41</v>
      </c>
      <c r="M20" s="29">
        <f t="shared" si="8"/>
        <v>18.899999999999999</v>
      </c>
    </row>
    <row r="21" spans="1:13" x14ac:dyDescent="0.2">
      <c r="A21" s="12"/>
      <c r="B21" s="12">
        <v>26</v>
      </c>
      <c r="C21" s="15" t="s">
        <v>41</v>
      </c>
      <c r="D21" s="29">
        <f t="shared" ref="D21:M21" si="9">D22*26</f>
        <v>286.26</v>
      </c>
      <c r="E21" s="29">
        <f t="shared" si="9"/>
        <v>295.88</v>
      </c>
      <c r="F21" s="29">
        <f t="shared" si="9"/>
        <v>305.24</v>
      </c>
      <c r="G21" s="29">
        <f t="shared" si="9"/>
        <v>314.86</v>
      </c>
      <c r="H21" s="29">
        <f t="shared" si="9"/>
        <v>324.48</v>
      </c>
      <c r="I21" s="29">
        <f t="shared" si="9"/>
        <v>333.84</v>
      </c>
      <c r="J21" s="29">
        <f t="shared" si="9"/>
        <v>343.46000000000004</v>
      </c>
      <c r="K21" s="29">
        <f t="shared" si="9"/>
        <v>353.08</v>
      </c>
      <c r="L21" s="29">
        <f t="shared" si="9"/>
        <v>362.44</v>
      </c>
      <c r="M21" s="29">
        <f t="shared" si="9"/>
        <v>372.06</v>
      </c>
    </row>
    <row r="22" spans="1:13" x14ac:dyDescent="0.2">
      <c r="A22" s="12"/>
      <c r="B22" s="12"/>
      <c r="C22" s="15" t="s">
        <v>13</v>
      </c>
      <c r="D22" s="29">
        <f t="shared" ref="D22:M22" si="10">ROUND(D18/2756,2)</f>
        <v>11.01</v>
      </c>
      <c r="E22" s="29">
        <f t="shared" si="10"/>
        <v>11.38</v>
      </c>
      <c r="F22" s="29">
        <f t="shared" si="10"/>
        <v>11.74</v>
      </c>
      <c r="G22" s="29">
        <f t="shared" si="10"/>
        <v>12.11</v>
      </c>
      <c r="H22" s="29">
        <f t="shared" si="10"/>
        <v>12.48</v>
      </c>
      <c r="I22" s="29">
        <f t="shared" si="10"/>
        <v>12.84</v>
      </c>
      <c r="J22" s="29">
        <f t="shared" si="10"/>
        <v>13.21</v>
      </c>
      <c r="K22" s="29">
        <f t="shared" si="10"/>
        <v>13.58</v>
      </c>
      <c r="L22" s="29">
        <f t="shared" si="10"/>
        <v>13.94</v>
      </c>
      <c r="M22" s="29">
        <f t="shared" si="10"/>
        <v>14.31</v>
      </c>
    </row>
    <row r="23" spans="1:13" x14ac:dyDescent="0.2">
      <c r="A23" s="12" t="s">
        <v>23</v>
      </c>
      <c r="B23" s="18">
        <f>($G$3-53)*2</f>
        <v>14</v>
      </c>
      <c r="C23" s="15" t="s">
        <v>42</v>
      </c>
      <c r="D23" s="29">
        <f t="shared" ref="D23:M23" si="11">D24*$B$12</f>
        <v>231.28</v>
      </c>
      <c r="E23" s="29">
        <f t="shared" si="11"/>
        <v>238.98000000000002</v>
      </c>
      <c r="F23" s="29">
        <f t="shared" si="11"/>
        <v>246.54</v>
      </c>
      <c r="G23" s="29">
        <f t="shared" si="11"/>
        <v>254.38000000000002</v>
      </c>
      <c r="H23" s="29">
        <f t="shared" si="11"/>
        <v>262.08</v>
      </c>
      <c r="I23" s="29">
        <f t="shared" si="11"/>
        <v>269.64000000000004</v>
      </c>
      <c r="J23" s="29">
        <f t="shared" si="11"/>
        <v>277.48</v>
      </c>
      <c r="K23" s="29">
        <f t="shared" si="11"/>
        <v>285.18</v>
      </c>
      <c r="L23" s="29">
        <f t="shared" si="11"/>
        <v>292.74</v>
      </c>
      <c r="M23" s="29">
        <f t="shared" si="11"/>
        <v>300.58</v>
      </c>
    </row>
    <row r="24" spans="1:13" x14ac:dyDescent="0.2">
      <c r="A24" s="12"/>
      <c r="B24" s="12"/>
      <c r="C24" s="15" t="s">
        <v>14</v>
      </c>
      <c r="D24" s="16">
        <f t="shared" ref="D24:M24" si="12">IF(ROUND(D22*1.5,2)&lt;$G$149,ROUND(D22*1.5,2),IF($G$149&lt;D22,D22,$G$149))</f>
        <v>16.52</v>
      </c>
      <c r="E24" s="16">
        <f t="shared" si="12"/>
        <v>17.07</v>
      </c>
      <c r="F24" s="16">
        <f t="shared" si="12"/>
        <v>17.61</v>
      </c>
      <c r="G24" s="16">
        <f t="shared" si="12"/>
        <v>18.170000000000002</v>
      </c>
      <c r="H24" s="16">
        <f t="shared" si="12"/>
        <v>18.72</v>
      </c>
      <c r="I24" s="16">
        <f t="shared" si="12"/>
        <v>19.260000000000002</v>
      </c>
      <c r="J24" s="16">
        <f t="shared" si="12"/>
        <v>19.82</v>
      </c>
      <c r="K24" s="16">
        <f t="shared" si="12"/>
        <v>20.37</v>
      </c>
      <c r="L24" s="16">
        <f t="shared" si="12"/>
        <v>20.91</v>
      </c>
      <c r="M24" s="16">
        <f t="shared" si="12"/>
        <v>21.47</v>
      </c>
    </row>
    <row r="25" spans="1:13" x14ac:dyDescent="0.2">
      <c r="A25" s="51"/>
      <c r="B25" s="51"/>
      <c r="C25" s="28" t="s">
        <v>46</v>
      </c>
      <c r="D25" s="16">
        <f>(ROUND(D20*'Start Page'!$F$48,2)*80)+(ROUND(D22*'Start Page'!$F$48,2)*($B$15-80))</f>
        <v>0</v>
      </c>
      <c r="E25" s="16">
        <f>(ROUND(E20*'Start Page'!$F$48,2)*80)+(ROUND(E22*'Start Page'!$F$48,2)*($B$15-80))</f>
        <v>0</v>
      </c>
      <c r="F25" s="16">
        <f>(ROUND(F20*'Start Page'!$F$48,2)*80)+(ROUND(F22*'Start Page'!$F$48,2)*($B$15-80))</f>
        <v>0</v>
      </c>
      <c r="G25" s="16">
        <f>(ROUND(G20*'Start Page'!$F$48,2)*80)+(ROUND(G22*'Start Page'!$F$48,2)*($B$15-80))</f>
        <v>0</v>
      </c>
      <c r="H25" s="16">
        <f>(ROUND(H20*'Start Page'!$F$48,2)*80)+(ROUND(H22*'Start Page'!$F$48,2)*($B$15-80))</f>
        <v>0</v>
      </c>
      <c r="I25" s="16">
        <f>(ROUND(I20*'Start Page'!$F$48,2)*80)+(ROUND(I22*'Start Page'!$F$48,2)*($B$15-80))</f>
        <v>0</v>
      </c>
      <c r="J25" s="16">
        <f>(ROUND(J20*'Start Page'!$F$48,2)*80)+(ROUND(J22*'Start Page'!$F$48,2)*($B$15-80))</f>
        <v>0</v>
      </c>
      <c r="K25" s="16">
        <f>(ROUND(K20*'Start Page'!$F$48,2)*80)+(ROUND(K22*'Start Page'!$F$48,2)*($B$15-80))</f>
        <v>0</v>
      </c>
      <c r="L25" s="16">
        <f>(ROUND(L20*'Start Page'!$F$48,2)*80)+(ROUND(L22*'Start Page'!$F$48,2)*($B$15-80))</f>
        <v>0</v>
      </c>
      <c r="M25" s="16">
        <f>(ROUND(M20*'Start Page'!$F$48,2)*80)+(ROUND(M22*'Start Page'!$F$48,2)*($B$15-80))</f>
        <v>0</v>
      </c>
    </row>
    <row r="26" spans="1:13" x14ac:dyDescent="0.2">
      <c r="A26" s="12"/>
      <c r="B26" s="12">
        <f>B19+B21+B23</f>
        <v>120</v>
      </c>
      <c r="C26" s="19" t="s">
        <v>17</v>
      </c>
      <c r="D26" s="30">
        <f t="shared" ref="D26:M26" si="13">D19+D21+D23+D25</f>
        <v>1680.7399999999998</v>
      </c>
      <c r="E26" s="30">
        <f t="shared" si="13"/>
        <v>1736.46</v>
      </c>
      <c r="F26" s="30">
        <f t="shared" si="13"/>
        <v>1792.58</v>
      </c>
      <c r="G26" s="30">
        <f t="shared" si="13"/>
        <v>1848.44</v>
      </c>
      <c r="H26" s="30">
        <f t="shared" si="13"/>
        <v>1904.96</v>
      </c>
      <c r="I26" s="30">
        <f t="shared" si="13"/>
        <v>1960.2800000000002</v>
      </c>
      <c r="J26" s="30">
        <f t="shared" si="13"/>
        <v>2016.94</v>
      </c>
      <c r="K26" s="30">
        <f t="shared" si="13"/>
        <v>2072.66</v>
      </c>
      <c r="L26" s="30">
        <f t="shared" si="13"/>
        <v>2127.98</v>
      </c>
      <c r="M26" s="30">
        <f t="shared" si="13"/>
        <v>2184.64</v>
      </c>
    </row>
    <row r="27" spans="1:13" x14ac:dyDescent="0.2">
      <c r="A27" s="12"/>
      <c r="B27" s="12"/>
      <c r="C27" s="19" t="s">
        <v>33</v>
      </c>
      <c r="D27" s="30">
        <f>D26*'Start Page'!$C$65</f>
        <v>43699.239999999991</v>
      </c>
      <c r="E27" s="30">
        <f>E26*'Start Page'!$C$65</f>
        <v>45147.96</v>
      </c>
      <c r="F27" s="30">
        <f>F26*'Start Page'!$C$65</f>
        <v>46607.08</v>
      </c>
      <c r="G27" s="30">
        <f>G26*'Start Page'!$C$65</f>
        <v>48059.44</v>
      </c>
      <c r="H27" s="30">
        <f>H26*'Start Page'!$C$65</f>
        <v>49528.959999999999</v>
      </c>
      <c r="I27" s="30">
        <f>I26*'Start Page'!$C$65</f>
        <v>50967.280000000006</v>
      </c>
      <c r="J27" s="30">
        <f>J26*'Start Page'!$C$65</f>
        <v>52440.44</v>
      </c>
      <c r="K27" s="30">
        <f>K26*'Start Page'!$C$65</f>
        <v>53889.159999999996</v>
      </c>
      <c r="L27" s="30">
        <f>L26*'Start Page'!$C$65</f>
        <v>55327.48</v>
      </c>
      <c r="M27" s="30">
        <f>M26*'Start Page'!$C$65</f>
        <v>56800.639999999999</v>
      </c>
    </row>
    <row r="28" spans="1:13" s="24" customFormat="1" x14ac:dyDescent="0.2">
      <c r="A28" s="21"/>
      <c r="B28" s="21"/>
      <c r="C28" s="22" t="s">
        <v>71</v>
      </c>
      <c r="D28" s="31">
        <f>((D20*80)+(D22*($B$15-80)))*'Start Page'!$C$65</f>
        <v>41693.599999999999</v>
      </c>
      <c r="E28" s="31">
        <f>((E20*80)+(E22*($B$15-80)))*'Start Page'!$C$65</f>
        <v>43076.799999999996</v>
      </c>
      <c r="F28" s="31">
        <f>((F20*80)+(F22*($B$15-80)))*'Start Page'!$C$65</f>
        <v>44470.400000000001</v>
      </c>
      <c r="G28" s="31">
        <f>((G20*80)+(G22*($B$15-80)))*'Start Page'!$C$65</f>
        <v>45853.599999999999</v>
      </c>
      <c r="H28" s="31">
        <f>((H20*80)+(H22*($B$15-80)))*'Start Page'!$C$65</f>
        <v>47257.600000000006</v>
      </c>
      <c r="I28" s="31">
        <f>((I20*80)+(I22*($B$15-80)))*'Start Page'!$C$65</f>
        <v>48630.400000000001</v>
      </c>
      <c r="J28" s="31">
        <f>((J20*80)+(J22*($B$15-80)))*'Start Page'!$C$65</f>
        <v>50034.400000000001</v>
      </c>
      <c r="K28" s="31">
        <f>((K20*80)+(K22*($B$15-80)))*'Start Page'!$C$65</f>
        <v>51417.600000000006</v>
      </c>
      <c r="L28" s="31">
        <f>((L20*80)+(L22*($B$15-80)))*'Start Page'!$C$65</f>
        <v>52790.400000000001</v>
      </c>
      <c r="M28" s="89">
        <f>((M20*80)+(M22*($B$15-80)))*'Start Page'!$C$65</f>
        <v>54194.400000000001</v>
      </c>
    </row>
    <row r="29" spans="1:13" x14ac:dyDescent="0.2">
      <c r="A29" s="12"/>
      <c r="B29" s="25"/>
      <c r="C29" s="13" t="s">
        <v>30</v>
      </c>
      <c r="D29" s="86">
        <f>'GS Pay Scale'!B11</f>
        <v>33949</v>
      </c>
      <c r="E29" s="86">
        <f>'GS Pay Scale'!C11</f>
        <v>35080</v>
      </c>
      <c r="F29" s="86">
        <f>'GS Pay Scale'!D11</f>
        <v>36212</v>
      </c>
      <c r="G29" s="86">
        <f>'GS Pay Scale'!E11</f>
        <v>37343</v>
      </c>
      <c r="H29" s="86">
        <f>'GS Pay Scale'!F11</f>
        <v>38474</v>
      </c>
      <c r="I29" s="86">
        <f>'GS Pay Scale'!G11</f>
        <v>39605</v>
      </c>
      <c r="J29" s="86">
        <f>'GS Pay Scale'!H11</f>
        <v>40737</v>
      </c>
      <c r="K29" s="86">
        <f>'GS Pay Scale'!I11</f>
        <v>41868</v>
      </c>
      <c r="L29" s="86">
        <f>'GS Pay Scale'!J11</f>
        <v>42999</v>
      </c>
      <c r="M29" s="86">
        <f>'GS Pay Scale'!K11</f>
        <v>44130</v>
      </c>
    </row>
    <row r="30" spans="1:13" x14ac:dyDescent="0.2">
      <c r="A30" s="12"/>
      <c r="B30" s="12">
        <v>80</v>
      </c>
      <c r="C30" s="28" t="s">
        <v>44</v>
      </c>
      <c r="D30" s="87">
        <f t="shared" ref="D30:M30" si="14">D31*80</f>
        <v>1301.5999999999999</v>
      </c>
      <c r="E30" s="87">
        <f t="shared" si="14"/>
        <v>1344.8</v>
      </c>
      <c r="F30" s="87">
        <f t="shared" si="14"/>
        <v>1388</v>
      </c>
      <c r="G30" s="87">
        <f t="shared" si="14"/>
        <v>1431.2</v>
      </c>
      <c r="H30" s="87">
        <f t="shared" si="14"/>
        <v>1475.2</v>
      </c>
      <c r="I30" s="87">
        <f t="shared" si="14"/>
        <v>1518.4</v>
      </c>
      <c r="J30" s="87">
        <f t="shared" si="14"/>
        <v>1561.6</v>
      </c>
      <c r="K30" s="87">
        <f t="shared" si="14"/>
        <v>1604.8</v>
      </c>
      <c r="L30" s="87">
        <f t="shared" si="14"/>
        <v>1648</v>
      </c>
      <c r="M30" s="87">
        <f t="shared" si="14"/>
        <v>1692</v>
      </c>
    </row>
    <row r="31" spans="1:13" x14ac:dyDescent="0.2">
      <c r="A31" s="12"/>
      <c r="B31" s="12"/>
      <c r="C31" s="28" t="s">
        <v>20</v>
      </c>
      <c r="D31" s="29">
        <f t="shared" ref="D31:M31" si="15">ROUND(D29/2087,2)</f>
        <v>16.27</v>
      </c>
      <c r="E31" s="29">
        <f t="shared" si="15"/>
        <v>16.809999999999999</v>
      </c>
      <c r="F31" s="29">
        <f t="shared" si="15"/>
        <v>17.350000000000001</v>
      </c>
      <c r="G31" s="29">
        <f t="shared" si="15"/>
        <v>17.89</v>
      </c>
      <c r="H31" s="29">
        <f t="shared" si="15"/>
        <v>18.440000000000001</v>
      </c>
      <c r="I31" s="29">
        <f t="shared" si="15"/>
        <v>18.98</v>
      </c>
      <c r="J31" s="29">
        <f t="shared" si="15"/>
        <v>19.52</v>
      </c>
      <c r="K31" s="29">
        <f t="shared" si="15"/>
        <v>20.059999999999999</v>
      </c>
      <c r="L31" s="29">
        <f t="shared" si="15"/>
        <v>20.6</v>
      </c>
      <c r="M31" s="29">
        <f t="shared" si="15"/>
        <v>21.15</v>
      </c>
    </row>
    <row r="32" spans="1:13" x14ac:dyDescent="0.2">
      <c r="A32" s="12"/>
      <c r="B32" s="12">
        <v>26</v>
      </c>
      <c r="C32" s="15" t="s">
        <v>41</v>
      </c>
      <c r="D32" s="29">
        <f t="shared" ref="D32:M32" si="16">D33*26</f>
        <v>320.32</v>
      </c>
      <c r="E32" s="29">
        <f t="shared" si="16"/>
        <v>330.98</v>
      </c>
      <c r="F32" s="29">
        <f t="shared" si="16"/>
        <v>341.64</v>
      </c>
      <c r="G32" s="29">
        <f t="shared" si="16"/>
        <v>352.3</v>
      </c>
      <c r="H32" s="29">
        <f t="shared" si="16"/>
        <v>362.96000000000004</v>
      </c>
      <c r="I32" s="29">
        <f t="shared" si="16"/>
        <v>373.62</v>
      </c>
      <c r="J32" s="29">
        <f t="shared" si="16"/>
        <v>384.28</v>
      </c>
      <c r="K32" s="29">
        <f t="shared" si="16"/>
        <v>394.94</v>
      </c>
      <c r="L32" s="29">
        <f t="shared" si="16"/>
        <v>405.59999999999997</v>
      </c>
      <c r="M32" s="29">
        <f t="shared" si="16"/>
        <v>416.26000000000005</v>
      </c>
    </row>
    <row r="33" spans="1:13" x14ac:dyDescent="0.2">
      <c r="A33" s="12"/>
      <c r="B33" s="12"/>
      <c r="C33" s="15" t="s">
        <v>13</v>
      </c>
      <c r="D33" s="29">
        <f t="shared" ref="D33:M33" si="17">ROUND(D29/2756,2)</f>
        <v>12.32</v>
      </c>
      <c r="E33" s="29">
        <f t="shared" si="17"/>
        <v>12.73</v>
      </c>
      <c r="F33" s="29">
        <f t="shared" si="17"/>
        <v>13.14</v>
      </c>
      <c r="G33" s="29">
        <f t="shared" si="17"/>
        <v>13.55</v>
      </c>
      <c r="H33" s="29">
        <f t="shared" si="17"/>
        <v>13.96</v>
      </c>
      <c r="I33" s="29">
        <f t="shared" si="17"/>
        <v>14.37</v>
      </c>
      <c r="J33" s="29">
        <f t="shared" si="17"/>
        <v>14.78</v>
      </c>
      <c r="K33" s="29">
        <f t="shared" si="17"/>
        <v>15.19</v>
      </c>
      <c r="L33" s="29">
        <f t="shared" si="17"/>
        <v>15.6</v>
      </c>
      <c r="M33" s="29">
        <f t="shared" si="17"/>
        <v>16.010000000000002</v>
      </c>
    </row>
    <row r="34" spans="1:13" x14ac:dyDescent="0.2">
      <c r="A34" s="12" t="s">
        <v>24</v>
      </c>
      <c r="B34" s="18">
        <f>($G$3-53)*2</f>
        <v>14</v>
      </c>
      <c r="C34" s="15" t="s">
        <v>42</v>
      </c>
      <c r="D34" s="29">
        <f t="shared" ref="D34:M34" si="18">D35*$B$12</f>
        <v>258.72000000000003</v>
      </c>
      <c r="E34" s="29">
        <f t="shared" si="18"/>
        <v>267.40000000000003</v>
      </c>
      <c r="F34" s="29">
        <f t="shared" si="18"/>
        <v>275.94</v>
      </c>
      <c r="G34" s="29">
        <f t="shared" si="18"/>
        <v>284.62</v>
      </c>
      <c r="H34" s="29">
        <f t="shared" si="18"/>
        <v>293.16000000000003</v>
      </c>
      <c r="I34" s="29">
        <f t="shared" si="18"/>
        <v>301.83999999999997</v>
      </c>
      <c r="J34" s="29">
        <f t="shared" si="18"/>
        <v>310.38</v>
      </c>
      <c r="K34" s="29">
        <f t="shared" si="18"/>
        <v>319.06</v>
      </c>
      <c r="L34" s="29">
        <f t="shared" si="18"/>
        <v>327.59999999999997</v>
      </c>
      <c r="M34" s="29">
        <f t="shared" si="18"/>
        <v>336.28</v>
      </c>
    </row>
    <row r="35" spans="1:13" x14ac:dyDescent="0.2">
      <c r="A35" s="12"/>
      <c r="B35" s="12"/>
      <c r="C35" s="15" t="s">
        <v>14</v>
      </c>
      <c r="D35" s="16">
        <f t="shared" ref="D35:M35" si="19">IF(ROUND(D33*1.5,2)&lt;$G$149,ROUND(D33*1.5,2),IF($G$149&lt;D33,D33,$G$149))</f>
        <v>18.48</v>
      </c>
      <c r="E35" s="16">
        <f t="shared" si="19"/>
        <v>19.100000000000001</v>
      </c>
      <c r="F35" s="16">
        <f t="shared" si="19"/>
        <v>19.71</v>
      </c>
      <c r="G35" s="16">
        <f t="shared" si="19"/>
        <v>20.329999999999998</v>
      </c>
      <c r="H35" s="16">
        <f t="shared" si="19"/>
        <v>20.94</v>
      </c>
      <c r="I35" s="16">
        <f t="shared" si="19"/>
        <v>21.56</v>
      </c>
      <c r="J35" s="16">
        <f t="shared" si="19"/>
        <v>22.17</v>
      </c>
      <c r="K35" s="16">
        <f t="shared" si="19"/>
        <v>22.79</v>
      </c>
      <c r="L35" s="16">
        <f t="shared" si="19"/>
        <v>23.4</v>
      </c>
      <c r="M35" s="16">
        <f t="shared" si="19"/>
        <v>24.02</v>
      </c>
    </row>
    <row r="36" spans="1:13" x14ac:dyDescent="0.2">
      <c r="A36" s="51"/>
      <c r="B36" s="51"/>
      <c r="C36" s="28" t="s">
        <v>46</v>
      </c>
      <c r="D36" s="16">
        <f>(ROUND(D31*'Start Page'!$F$48,2)*80)+(ROUND(D33*'Start Page'!$F$48,2)*($B$15-80))</f>
        <v>0</v>
      </c>
      <c r="E36" s="16">
        <f>(ROUND(E31*'Start Page'!$F$48,2)*80)+(ROUND(E33*'Start Page'!$F$48,2)*($B$15-80))</f>
        <v>0</v>
      </c>
      <c r="F36" s="16">
        <f>(ROUND(F31*'Start Page'!$F$48,2)*80)+(ROUND(F33*'Start Page'!$F$48,2)*($B$15-80))</f>
        <v>0</v>
      </c>
      <c r="G36" s="16">
        <f>(ROUND(G31*'Start Page'!$F$48,2)*80)+(ROUND(G33*'Start Page'!$F$48,2)*($B$15-80))</f>
        <v>0</v>
      </c>
      <c r="H36" s="16">
        <f>(ROUND(H31*'Start Page'!$F$48,2)*80)+(ROUND(H33*'Start Page'!$F$48,2)*($B$15-80))</f>
        <v>0</v>
      </c>
      <c r="I36" s="16">
        <f>(ROUND(I31*'Start Page'!$F$48,2)*80)+(ROUND(I33*'Start Page'!$F$48,2)*($B$15-80))</f>
        <v>0</v>
      </c>
      <c r="J36" s="16">
        <f>(ROUND(J31*'Start Page'!$F$48,2)*80)+(ROUND(J33*'Start Page'!$F$48,2)*($B$15-80))</f>
        <v>0</v>
      </c>
      <c r="K36" s="16">
        <f>(ROUND(K31*'Start Page'!$F$48,2)*80)+(ROUND(K33*'Start Page'!$F$48,2)*($B$15-80))</f>
        <v>0</v>
      </c>
      <c r="L36" s="16">
        <f>(ROUND(L31*'Start Page'!$F$48,2)*80)+(ROUND(L33*'Start Page'!$F$48,2)*($B$15-80))</f>
        <v>0</v>
      </c>
      <c r="M36" s="16">
        <f>(ROUND(M31*'Start Page'!$F$48,2)*80)+(ROUND(M33*'Start Page'!$F$48,2)*($B$15-80))</f>
        <v>0</v>
      </c>
    </row>
    <row r="37" spans="1:13" x14ac:dyDescent="0.2">
      <c r="A37" s="12"/>
      <c r="B37" s="12">
        <f>B30+B32+B34</f>
        <v>120</v>
      </c>
      <c r="C37" s="19" t="s">
        <v>17</v>
      </c>
      <c r="D37" s="30">
        <f t="shared" ref="D37:M37" si="20">D30+D32+D34+D36</f>
        <v>1880.6399999999999</v>
      </c>
      <c r="E37" s="30">
        <f t="shared" si="20"/>
        <v>1943.18</v>
      </c>
      <c r="F37" s="30">
        <f t="shared" si="20"/>
        <v>2005.58</v>
      </c>
      <c r="G37" s="30">
        <f t="shared" si="20"/>
        <v>2068.12</v>
      </c>
      <c r="H37" s="30">
        <f t="shared" si="20"/>
        <v>2131.3200000000002</v>
      </c>
      <c r="I37" s="30">
        <f t="shared" si="20"/>
        <v>2193.86</v>
      </c>
      <c r="J37" s="30">
        <f t="shared" si="20"/>
        <v>2256.2599999999998</v>
      </c>
      <c r="K37" s="30">
        <f t="shared" si="20"/>
        <v>2318.8000000000002</v>
      </c>
      <c r="L37" s="30">
        <f t="shared" si="20"/>
        <v>2381.1999999999998</v>
      </c>
      <c r="M37" s="30">
        <f t="shared" si="20"/>
        <v>2444.54</v>
      </c>
    </row>
    <row r="38" spans="1:13" x14ac:dyDescent="0.2">
      <c r="A38" s="12"/>
      <c r="B38" s="12"/>
      <c r="C38" s="19" t="s">
        <v>33</v>
      </c>
      <c r="D38" s="30">
        <f>D37*'Start Page'!$C$65</f>
        <v>48896.639999999999</v>
      </c>
      <c r="E38" s="30">
        <f>E37*'Start Page'!$C$65</f>
        <v>50522.68</v>
      </c>
      <c r="F38" s="30">
        <f>F37*'Start Page'!$C$65</f>
        <v>52145.08</v>
      </c>
      <c r="G38" s="30">
        <f>G37*'Start Page'!$C$65</f>
        <v>53771.119999999995</v>
      </c>
      <c r="H38" s="30">
        <f>H37*'Start Page'!$C$65</f>
        <v>55414.320000000007</v>
      </c>
      <c r="I38" s="30">
        <f>I37*'Start Page'!$C$65</f>
        <v>57040.36</v>
      </c>
      <c r="J38" s="30">
        <f>J37*'Start Page'!$C$65</f>
        <v>58662.759999999995</v>
      </c>
      <c r="K38" s="30">
        <f>K37*'Start Page'!$C$65</f>
        <v>60288.800000000003</v>
      </c>
      <c r="L38" s="30">
        <f>L37*'Start Page'!$C$65</f>
        <v>61911.199999999997</v>
      </c>
      <c r="M38" s="30">
        <f>M37*'Start Page'!$C$65</f>
        <v>63558.04</v>
      </c>
    </row>
    <row r="39" spans="1:13" s="24" customFormat="1" x14ac:dyDescent="0.2">
      <c r="A39" s="21"/>
      <c r="B39" s="21"/>
      <c r="C39" s="22" t="s">
        <v>71</v>
      </c>
      <c r="D39" s="31">
        <f>((D31*80)+(D33*($B$15-80)))*'Start Page'!$C$65</f>
        <v>46654.399999999994</v>
      </c>
      <c r="E39" s="31">
        <f>((E31*80)+(E33*($B$15-80)))*'Start Page'!$C$65</f>
        <v>48204</v>
      </c>
      <c r="F39" s="31">
        <f>((F31*80)+(F33*($B$15-80)))*'Start Page'!$C$65</f>
        <v>49753.599999999999</v>
      </c>
      <c r="G39" s="31">
        <f>((G31*80)+(G33*($B$15-80)))*'Start Page'!$C$65</f>
        <v>51303.200000000004</v>
      </c>
      <c r="H39" s="31">
        <f>((H31*80)+(H33*($B$15-80)))*'Start Page'!$C$65</f>
        <v>52873.600000000006</v>
      </c>
      <c r="I39" s="31">
        <f>((I31*80)+(I33*($B$15-80)))*'Start Page'!$C$65</f>
        <v>54423.199999999997</v>
      </c>
      <c r="J39" s="31">
        <f>((J31*80)+(J33*($B$15-80)))*'Start Page'!$C$65</f>
        <v>55972.799999999996</v>
      </c>
      <c r="K39" s="31">
        <f>((K31*80)+(K33*($B$15-80)))*'Start Page'!$C$65</f>
        <v>57522.400000000001</v>
      </c>
      <c r="L39" s="31">
        <f>((L31*80)+(L33*($B$15-80)))*'Start Page'!$C$65</f>
        <v>59072</v>
      </c>
      <c r="M39" s="89">
        <f>((M31*80)+(M33*($B$15-80)))*'Start Page'!$C$65</f>
        <v>60642.400000000001</v>
      </c>
    </row>
    <row r="40" spans="1:13" x14ac:dyDescent="0.2">
      <c r="A40" s="12"/>
      <c r="B40" s="25"/>
      <c r="C40" s="13" t="s">
        <v>30</v>
      </c>
      <c r="D40" s="86">
        <f>'GS Pay Scale'!B12</f>
        <v>37843</v>
      </c>
      <c r="E40" s="86">
        <f>'GS Pay Scale'!C12</f>
        <v>39105</v>
      </c>
      <c r="F40" s="86">
        <f>'GS Pay Scale'!D12</f>
        <v>40367</v>
      </c>
      <c r="G40" s="86">
        <f>'GS Pay Scale'!E12</f>
        <v>41628</v>
      </c>
      <c r="H40" s="86">
        <f>'GS Pay Scale'!F12</f>
        <v>42890</v>
      </c>
      <c r="I40" s="86">
        <f>'GS Pay Scale'!G12</f>
        <v>44152</v>
      </c>
      <c r="J40" s="86">
        <f>'GS Pay Scale'!H12</f>
        <v>45414</v>
      </c>
      <c r="K40" s="86">
        <f>'GS Pay Scale'!I12</f>
        <v>46676</v>
      </c>
      <c r="L40" s="86">
        <f>'GS Pay Scale'!J12</f>
        <v>47938</v>
      </c>
      <c r="M40" s="86">
        <f>'GS Pay Scale'!K12</f>
        <v>49200</v>
      </c>
    </row>
    <row r="41" spans="1:13" x14ac:dyDescent="0.2">
      <c r="A41" s="12"/>
      <c r="B41" s="12">
        <v>80</v>
      </c>
      <c r="C41" s="28" t="s">
        <v>44</v>
      </c>
      <c r="D41" s="87">
        <f t="shared" ref="D41:M41" si="21">D42*80</f>
        <v>1450.3999999999999</v>
      </c>
      <c r="E41" s="87">
        <f t="shared" si="21"/>
        <v>1499.1999999999998</v>
      </c>
      <c r="F41" s="87">
        <f t="shared" si="21"/>
        <v>1547.2</v>
      </c>
      <c r="G41" s="87">
        <f t="shared" si="21"/>
        <v>1596</v>
      </c>
      <c r="H41" s="87">
        <f t="shared" si="21"/>
        <v>1644</v>
      </c>
      <c r="I41" s="87">
        <f t="shared" si="21"/>
        <v>1692.8</v>
      </c>
      <c r="J41" s="87">
        <f t="shared" si="21"/>
        <v>1740.8000000000002</v>
      </c>
      <c r="K41" s="87">
        <f t="shared" si="21"/>
        <v>1789.6000000000001</v>
      </c>
      <c r="L41" s="87">
        <f t="shared" si="21"/>
        <v>1837.6</v>
      </c>
      <c r="M41" s="87">
        <f t="shared" si="21"/>
        <v>1885.6</v>
      </c>
    </row>
    <row r="42" spans="1:13" x14ac:dyDescent="0.2">
      <c r="A42" s="12"/>
      <c r="B42" s="12"/>
      <c r="C42" s="28" t="s">
        <v>20</v>
      </c>
      <c r="D42" s="29">
        <f t="shared" ref="D42:M42" si="22">ROUND(D40/2087,2)</f>
        <v>18.13</v>
      </c>
      <c r="E42" s="29">
        <f t="shared" si="22"/>
        <v>18.739999999999998</v>
      </c>
      <c r="F42" s="29">
        <f t="shared" si="22"/>
        <v>19.34</v>
      </c>
      <c r="G42" s="29">
        <f t="shared" si="22"/>
        <v>19.95</v>
      </c>
      <c r="H42" s="29">
        <f t="shared" si="22"/>
        <v>20.55</v>
      </c>
      <c r="I42" s="29">
        <f t="shared" si="22"/>
        <v>21.16</v>
      </c>
      <c r="J42" s="29">
        <f t="shared" si="22"/>
        <v>21.76</v>
      </c>
      <c r="K42" s="29">
        <f t="shared" si="22"/>
        <v>22.37</v>
      </c>
      <c r="L42" s="29">
        <f t="shared" si="22"/>
        <v>22.97</v>
      </c>
      <c r="M42" s="29">
        <f t="shared" si="22"/>
        <v>23.57</v>
      </c>
    </row>
    <row r="43" spans="1:13" x14ac:dyDescent="0.2">
      <c r="A43" s="12"/>
      <c r="B43" s="12">
        <v>26</v>
      </c>
      <c r="C43" s="15" t="s">
        <v>41</v>
      </c>
      <c r="D43" s="29">
        <f t="shared" ref="D43:M43" si="23">D44*26</f>
        <v>356.98</v>
      </c>
      <c r="E43" s="29">
        <f t="shared" si="23"/>
        <v>368.94</v>
      </c>
      <c r="F43" s="29">
        <f t="shared" si="23"/>
        <v>380.90000000000003</v>
      </c>
      <c r="G43" s="29">
        <f t="shared" si="23"/>
        <v>392.59999999999997</v>
      </c>
      <c r="H43" s="29">
        <f t="shared" si="23"/>
        <v>404.56</v>
      </c>
      <c r="I43" s="29">
        <f t="shared" si="23"/>
        <v>416.52</v>
      </c>
      <c r="J43" s="29">
        <f t="shared" si="23"/>
        <v>428.48</v>
      </c>
      <c r="K43" s="29">
        <f t="shared" si="23"/>
        <v>440.44000000000005</v>
      </c>
      <c r="L43" s="29">
        <f t="shared" si="23"/>
        <v>452.14</v>
      </c>
      <c r="M43" s="29">
        <f t="shared" si="23"/>
        <v>464.1</v>
      </c>
    </row>
    <row r="44" spans="1:13" x14ac:dyDescent="0.2">
      <c r="A44" s="12"/>
      <c r="B44" s="12"/>
      <c r="C44" s="15" t="s">
        <v>13</v>
      </c>
      <c r="D44" s="29">
        <f t="shared" ref="D44:M44" si="24">ROUND(D40/2756,2)</f>
        <v>13.73</v>
      </c>
      <c r="E44" s="29">
        <f t="shared" si="24"/>
        <v>14.19</v>
      </c>
      <c r="F44" s="29">
        <f t="shared" si="24"/>
        <v>14.65</v>
      </c>
      <c r="G44" s="29">
        <f t="shared" si="24"/>
        <v>15.1</v>
      </c>
      <c r="H44" s="29">
        <f t="shared" si="24"/>
        <v>15.56</v>
      </c>
      <c r="I44" s="29">
        <f t="shared" si="24"/>
        <v>16.02</v>
      </c>
      <c r="J44" s="29">
        <f t="shared" si="24"/>
        <v>16.48</v>
      </c>
      <c r="K44" s="29">
        <f t="shared" si="24"/>
        <v>16.940000000000001</v>
      </c>
      <c r="L44" s="29">
        <f t="shared" si="24"/>
        <v>17.39</v>
      </c>
      <c r="M44" s="29">
        <f t="shared" si="24"/>
        <v>17.850000000000001</v>
      </c>
    </row>
    <row r="45" spans="1:13" x14ac:dyDescent="0.2">
      <c r="A45" s="12" t="s">
        <v>18</v>
      </c>
      <c r="B45" s="18">
        <f>($G$3-53)*2</f>
        <v>14</v>
      </c>
      <c r="C45" s="15" t="s">
        <v>42</v>
      </c>
      <c r="D45" s="29">
        <f t="shared" ref="D45:M45" si="25">D46*$B$12</f>
        <v>288.40000000000003</v>
      </c>
      <c r="E45" s="29">
        <f t="shared" si="25"/>
        <v>298.06</v>
      </c>
      <c r="F45" s="29">
        <f t="shared" si="25"/>
        <v>307.72000000000003</v>
      </c>
      <c r="G45" s="29">
        <f t="shared" si="25"/>
        <v>317.09999999999997</v>
      </c>
      <c r="H45" s="29">
        <f t="shared" si="25"/>
        <v>326.76</v>
      </c>
      <c r="I45" s="29">
        <f t="shared" si="25"/>
        <v>336.42</v>
      </c>
      <c r="J45" s="29">
        <f t="shared" si="25"/>
        <v>346.08</v>
      </c>
      <c r="K45" s="29">
        <f t="shared" si="25"/>
        <v>355.74</v>
      </c>
      <c r="L45" s="29">
        <f t="shared" si="25"/>
        <v>365.26</v>
      </c>
      <c r="M45" s="29">
        <f t="shared" si="25"/>
        <v>374.92</v>
      </c>
    </row>
    <row r="46" spans="1:13" x14ac:dyDescent="0.2">
      <c r="A46" s="12"/>
      <c r="B46" s="12"/>
      <c r="C46" s="15" t="s">
        <v>14</v>
      </c>
      <c r="D46" s="16">
        <f t="shared" ref="D46:M46" si="26">IF(ROUND(D44*1.5,2)&lt;$G$149,ROUND(D44*1.5,2),IF($G$149&lt;D44,D44,$G$149))</f>
        <v>20.6</v>
      </c>
      <c r="E46" s="16">
        <f t="shared" si="26"/>
        <v>21.29</v>
      </c>
      <c r="F46" s="16">
        <f t="shared" si="26"/>
        <v>21.98</v>
      </c>
      <c r="G46" s="16">
        <f t="shared" si="26"/>
        <v>22.65</v>
      </c>
      <c r="H46" s="16">
        <f t="shared" si="26"/>
        <v>23.34</v>
      </c>
      <c r="I46" s="16">
        <f t="shared" si="26"/>
        <v>24.03</v>
      </c>
      <c r="J46" s="16">
        <f t="shared" si="26"/>
        <v>24.72</v>
      </c>
      <c r="K46" s="16">
        <f t="shared" si="26"/>
        <v>25.41</v>
      </c>
      <c r="L46" s="16">
        <f t="shared" si="26"/>
        <v>26.09</v>
      </c>
      <c r="M46" s="16">
        <f t="shared" si="26"/>
        <v>26.78</v>
      </c>
    </row>
    <row r="47" spans="1:13" x14ac:dyDescent="0.2">
      <c r="A47" s="51"/>
      <c r="B47" s="51"/>
      <c r="C47" s="28" t="s">
        <v>46</v>
      </c>
      <c r="D47" s="16">
        <f>(ROUND(D42*'Start Page'!$F$48,2)*80)+(ROUND(D44*'Start Page'!$F$48,2)*($B$15-80))</f>
        <v>0</v>
      </c>
      <c r="E47" s="16">
        <f>(ROUND(E42*'Start Page'!$F$48,2)*80)+(ROUND(E44*'Start Page'!$F$48,2)*($B$15-80))</f>
        <v>0</v>
      </c>
      <c r="F47" s="16">
        <f>(ROUND(F42*'Start Page'!$F$48,2)*80)+(ROUND(F44*'Start Page'!$F$48,2)*($B$15-80))</f>
        <v>0</v>
      </c>
      <c r="G47" s="16">
        <f>(ROUND(G42*'Start Page'!$F$48,2)*80)+(ROUND(G44*'Start Page'!$F$48,2)*($B$15-80))</f>
        <v>0</v>
      </c>
      <c r="H47" s="16">
        <f>(ROUND(H42*'Start Page'!$F$48,2)*80)+(ROUND(H44*'Start Page'!$F$48,2)*($B$15-80))</f>
        <v>0</v>
      </c>
      <c r="I47" s="16">
        <f>(ROUND(I42*'Start Page'!$F$48,2)*80)+(ROUND(I44*'Start Page'!$F$48,2)*($B$15-80))</f>
        <v>0</v>
      </c>
      <c r="J47" s="16">
        <f>(ROUND(J42*'Start Page'!$F$48,2)*80)+(ROUND(J44*'Start Page'!$F$48,2)*($B$15-80))</f>
        <v>0</v>
      </c>
      <c r="K47" s="16">
        <f>(ROUND(K42*'Start Page'!$F$48,2)*80)+(ROUND(K44*'Start Page'!$F$48,2)*($B$15-80))</f>
        <v>0</v>
      </c>
      <c r="L47" s="16">
        <f>(ROUND(L42*'Start Page'!$F$48,2)*80)+(ROUND(L44*'Start Page'!$F$48,2)*($B$15-80))</f>
        <v>0</v>
      </c>
      <c r="M47" s="16">
        <f>(ROUND(M42*'Start Page'!$F$48,2)*80)+(ROUND(M44*'Start Page'!$F$48,2)*($B$15-80))</f>
        <v>0</v>
      </c>
    </row>
    <row r="48" spans="1:13" x14ac:dyDescent="0.2">
      <c r="A48" s="12"/>
      <c r="B48" s="12">
        <f>B41+B43+B45</f>
        <v>120</v>
      </c>
      <c r="C48" s="19" t="s">
        <v>17</v>
      </c>
      <c r="D48" s="30">
        <f t="shared" ref="D48:M48" si="27">D41+D43+D45+D47</f>
        <v>2095.7799999999997</v>
      </c>
      <c r="E48" s="30">
        <f t="shared" si="27"/>
        <v>2166.1999999999998</v>
      </c>
      <c r="F48" s="30">
        <f t="shared" si="27"/>
        <v>2235.8200000000002</v>
      </c>
      <c r="G48" s="30">
        <f t="shared" si="27"/>
        <v>2305.6999999999998</v>
      </c>
      <c r="H48" s="30">
        <f t="shared" si="27"/>
        <v>2375.3199999999997</v>
      </c>
      <c r="I48" s="30">
        <f t="shared" si="27"/>
        <v>2445.7399999999998</v>
      </c>
      <c r="J48" s="30">
        <f t="shared" si="27"/>
        <v>2515.36</v>
      </c>
      <c r="K48" s="30">
        <f t="shared" si="27"/>
        <v>2585.7799999999997</v>
      </c>
      <c r="L48" s="30">
        <f t="shared" si="27"/>
        <v>2655</v>
      </c>
      <c r="M48" s="30">
        <f t="shared" si="27"/>
        <v>2724.62</v>
      </c>
    </row>
    <row r="49" spans="1:13" x14ac:dyDescent="0.2">
      <c r="A49" s="12"/>
      <c r="B49" s="12"/>
      <c r="C49" s="19" t="s">
        <v>33</v>
      </c>
      <c r="D49" s="30">
        <f>D48*'Start Page'!$C$65</f>
        <v>54490.279999999992</v>
      </c>
      <c r="E49" s="30">
        <f>E48*'Start Page'!$C$65</f>
        <v>56321.2</v>
      </c>
      <c r="F49" s="30">
        <f>F48*'Start Page'!$C$65</f>
        <v>58131.320000000007</v>
      </c>
      <c r="G49" s="30">
        <f>G48*'Start Page'!$C$65</f>
        <v>59948.2</v>
      </c>
      <c r="H49" s="30">
        <f>H48*'Start Page'!$C$65</f>
        <v>61758.319999999992</v>
      </c>
      <c r="I49" s="30">
        <f>I48*'Start Page'!$C$65</f>
        <v>63589.239999999991</v>
      </c>
      <c r="J49" s="30">
        <f>J48*'Start Page'!$C$65</f>
        <v>65399.360000000001</v>
      </c>
      <c r="K49" s="30">
        <f>K48*'Start Page'!$C$65</f>
        <v>67230.28</v>
      </c>
      <c r="L49" s="30">
        <f>L48*'Start Page'!$C$65</f>
        <v>69030</v>
      </c>
      <c r="M49" s="30">
        <f>M48*'Start Page'!$C$65</f>
        <v>70840.12</v>
      </c>
    </row>
    <row r="50" spans="1:13" s="24" customFormat="1" x14ac:dyDescent="0.2">
      <c r="A50" s="21"/>
      <c r="B50" s="21"/>
      <c r="C50" s="22" t="s">
        <v>71</v>
      </c>
      <c r="D50" s="31">
        <f>((D42*80)+(D44*($B$15-80)))*'Start Page'!$C$65</f>
        <v>51989.599999999999</v>
      </c>
      <c r="E50" s="31">
        <f>((E42*80)+(E44*($B$15-80)))*'Start Page'!$C$65</f>
        <v>53736.799999999996</v>
      </c>
      <c r="F50" s="31">
        <f>((F42*80)+(F44*($B$15-80)))*'Start Page'!$C$65</f>
        <v>55463.199999999997</v>
      </c>
      <c r="G50" s="31">
        <f>((G42*80)+(G44*($B$15-80)))*'Start Page'!$C$65</f>
        <v>57200</v>
      </c>
      <c r="H50" s="31">
        <f>((H42*80)+(H44*($B$15-80)))*'Start Page'!$C$65</f>
        <v>58926.400000000001</v>
      </c>
      <c r="I50" s="31">
        <f>((I42*80)+(I44*($B$15-80)))*'Start Page'!$C$65</f>
        <v>60673.599999999999</v>
      </c>
      <c r="J50" s="31">
        <f>((J42*80)+(J44*($B$15-80)))*'Start Page'!$C$65</f>
        <v>62400</v>
      </c>
      <c r="K50" s="31">
        <f>((K42*80)+(K44*($B$15-80)))*'Start Page'!$C$65</f>
        <v>64147.200000000004</v>
      </c>
      <c r="L50" s="31">
        <f>((L42*80)+(L44*($B$15-80)))*'Start Page'!$C$65</f>
        <v>65863.199999999997</v>
      </c>
      <c r="M50" s="89">
        <f>((M42*80)+(M44*($B$15-80)))*'Start Page'!$C$65</f>
        <v>67589.599999999991</v>
      </c>
    </row>
    <row r="51" spans="1:13" x14ac:dyDescent="0.2">
      <c r="A51" s="11" t="s">
        <v>0</v>
      </c>
      <c r="B51" s="11" t="s">
        <v>43</v>
      </c>
      <c r="C51" s="11" t="s">
        <v>1</v>
      </c>
      <c r="D51" s="11" t="s">
        <v>2</v>
      </c>
      <c r="E51" s="11" t="s">
        <v>3</v>
      </c>
      <c r="F51" s="11" t="s">
        <v>4</v>
      </c>
      <c r="G51" s="11" t="s">
        <v>5</v>
      </c>
      <c r="H51" s="11" t="s">
        <v>6</v>
      </c>
      <c r="I51" s="11" t="s">
        <v>7</v>
      </c>
      <c r="J51" s="11" t="s">
        <v>8</v>
      </c>
      <c r="K51" s="11" t="s">
        <v>9</v>
      </c>
      <c r="L51" s="11" t="s">
        <v>10</v>
      </c>
      <c r="M51" s="11" t="s">
        <v>11</v>
      </c>
    </row>
    <row r="52" spans="1:13" x14ac:dyDescent="0.2">
      <c r="A52" s="25"/>
      <c r="B52" s="25"/>
      <c r="C52" s="13" t="s">
        <v>30</v>
      </c>
      <c r="D52" s="87">
        <f>'GS Pay Scale'!B13</f>
        <v>42053</v>
      </c>
      <c r="E52" s="87">
        <f>'GS Pay Scale'!C13</f>
        <v>43455</v>
      </c>
      <c r="F52" s="87">
        <f>'GS Pay Scale'!D13</f>
        <v>44857</v>
      </c>
      <c r="G52" s="87">
        <f>'GS Pay Scale'!E13</f>
        <v>46259</v>
      </c>
      <c r="H52" s="87">
        <f>'GS Pay Scale'!F13</f>
        <v>47661</v>
      </c>
      <c r="I52" s="87">
        <f>'GS Pay Scale'!G13</f>
        <v>49063</v>
      </c>
      <c r="J52" s="87">
        <f>'GS Pay Scale'!H13</f>
        <v>50465</v>
      </c>
      <c r="K52" s="87">
        <f>'GS Pay Scale'!I13</f>
        <v>51866</v>
      </c>
      <c r="L52" s="87">
        <f>'GS Pay Scale'!J13</f>
        <v>53268</v>
      </c>
      <c r="M52" s="87">
        <f>'GS Pay Scale'!K13</f>
        <v>54670</v>
      </c>
    </row>
    <row r="53" spans="1:13" x14ac:dyDescent="0.2">
      <c r="A53" s="12"/>
      <c r="B53" s="12">
        <v>80</v>
      </c>
      <c r="C53" s="28" t="s">
        <v>44</v>
      </c>
      <c r="D53" s="87">
        <f t="shared" ref="D53:M53" si="28">D54*80</f>
        <v>1612</v>
      </c>
      <c r="E53" s="87">
        <f t="shared" si="28"/>
        <v>1665.6</v>
      </c>
      <c r="F53" s="87">
        <f t="shared" si="28"/>
        <v>1719.1999999999998</v>
      </c>
      <c r="G53" s="87">
        <f t="shared" si="28"/>
        <v>1773.6000000000001</v>
      </c>
      <c r="H53" s="87">
        <f t="shared" si="28"/>
        <v>1827.2</v>
      </c>
      <c r="I53" s="87">
        <f t="shared" si="28"/>
        <v>1880.8000000000002</v>
      </c>
      <c r="J53" s="87">
        <f t="shared" si="28"/>
        <v>1934.4</v>
      </c>
      <c r="K53" s="87">
        <f t="shared" si="28"/>
        <v>1988</v>
      </c>
      <c r="L53" s="87">
        <f t="shared" si="28"/>
        <v>2041.6</v>
      </c>
      <c r="M53" s="87">
        <f t="shared" si="28"/>
        <v>2096</v>
      </c>
    </row>
    <row r="54" spans="1:13" x14ac:dyDescent="0.2">
      <c r="A54" s="12"/>
      <c r="B54" s="12"/>
      <c r="C54" s="28" t="s">
        <v>20</v>
      </c>
      <c r="D54" s="29">
        <f>ROUND(D52/2087,2)</f>
        <v>20.149999999999999</v>
      </c>
      <c r="E54" s="29">
        <f t="shared" ref="E54:M54" si="29">ROUND(E52/2087,2)</f>
        <v>20.82</v>
      </c>
      <c r="F54" s="29">
        <f t="shared" si="29"/>
        <v>21.49</v>
      </c>
      <c r="G54" s="29">
        <f t="shared" si="29"/>
        <v>22.17</v>
      </c>
      <c r="H54" s="29">
        <f t="shared" si="29"/>
        <v>22.84</v>
      </c>
      <c r="I54" s="29">
        <f t="shared" si="29"/>
        <v>23.51</v>
      </c>
      <c r="J54" s="29">
        <f t="shared" si="29"/>
        <v>24.18</v>
      </c>
      <c r="K54" s="29">
        <f t="shared" si="29"/>
        <v>24.85</v>
      </c>
      <c r="L54" s="29">
        <f t="shared" si="29"/>
        <v>25.52</v>
      </c>
      <c r="M54" s="29">
        <f t="shared" si="29"/>
        <v>26.2</v>
      </c>
    </row>
    <row r="55" spans="1:13" x14ac:dyDescent="0.2">
      <c r="A55" s="12"/>
      <c r="B55" s="12">
        <v>26</v>
      </c>
      <c r="C55" s="15" t="s">
        <v>41</v>
      </c>
      <c r="D55" s="29">
        <f t="shared" ref="D55:M55" si="30">D56*26</f>
        <v>396.76</v>
      </c>
      <c r="E55" s="29">
        <f t="shared" si="30"/>
        <v>410.02</v>
      </c>
      <c r="F55" s="29">
        <f t="shared" si="30"/>
        <v>423.28000000000003</v>
      </c>
      <c r="G55" s="29">
        <f t="shared" si="30"/>
        <v>436.28000000000003</v>
      </c>
      <c r="H55" s="29">
        <f t="shared" si="30"/>
        <v>449.53999999999996</v>
      </c>
      <c r="I55" s="29">
        <f t="shared" si="30"/>
        <v>462.8</v>
      </c>
      <c r="J55" s="29">
        <f t="shared" si="30"/>
        <v>476.05999999999995</v>
      </c>
      <c r="K55" s="29">
        <f t="shared" si="30"/>
        <v>489.32</v>
      </c>
      <c r="L55" s="29">
        <f t="shared" si="30"/>
        <v>502.57999999999993</v>
      </c>
      <c r="M55" s="29">
        <f t="shared" si="30"/>
        <v>515.84</v>
      </c>
    </row>
    <row r="56" spans="1:13" x14ac:dyDescent="0.2">
      <c r="A56" s="12"/>
      <c r="B56" s="12"/>
      <c r="C56" s="15" t="s">
        <v>13</v>
      </c>
      <c r="D56" s="29">
        <f>ROUND(D52/2756,2)</f>
        <v>15.26</v>
      </c>
      <c r="E56" s="29">
        <f t="shared" ref="E56:M56" si="31">ROUND(E52/2756,2)</f>
        <v>15.77</v>
      </c>
      <c r="F56" s="29">
        <f t="shared" si="31"/>
        <v>16.28</v>
      </c>
      <c r="G56" s="29">
        <f t="shared" si="31"/>
        <v>16.78</v>
      </c>
      <c r="H56" s="29">
        <f t="shared" si="31"/>
        <v>17.29</v>
      </c>
      <c r="I56" s="29">
        <f t="shared" si="31"/>
        <v>17.8</v>
      </c>
      <c r="J56" s="29">
        <f t="shared" si="31"/>
        <v>18.309999999999999</v>
      </c>
      <c r="K56" s="29">
        <f t="shared" si="31"/>
        <v>18.82</v>
      </c>
      <c r="L56" s="29">
        <f t="shared" si="31"/>
        <v>19.329999999999998</v>
      </c>
      <c r="M56" s="29">
        <f t="shared" si="31"/>
        <v>19.84</v>
      </c>
    </row>
    <row r="57" spans="1:13" x14ac:dyDescent="0.2">
      <c r="A57" s="12" t="s">
        <v>12</v>
      </c>
      <c r="B57" s="18">
        <f>($G$3-53)*2</f>
        <v>14</v>
      </c>
      <c r="C57" s="15" t="s">
        <v>42</v>
      </c>
      <c r="D57" s="29">
        <f t="shared" ref="D57:M57" si="32">D58*$B$12</f>
        <v>320.46000000000004</v>
      </c>
      <c r="E57" s="29">
        <f t="shared" si="32"/>
        <v>331.24</v>
      </c>
      <c r="F57" s="29">
        <f t="shared" si="32"/>
        <v>341.88</v>
      </c>
      <c r="G57" s="29">
        <f t="shared" si="32"/>
        <v>352.38</v>
      </c>
      <c r="H57" s="29">
        <f t="shared" si="32"/>
        <v>363.16</v>
      </c>
      <c r="I57" s="29">
        <f t="shared" si="32"/>
        <v>373.8</v>
      </c>
      <c r="J57" s="29">
        <f t="shared" si="32"/>
        <v>384.58</v>
      </c>
      <c r="K57" s="29">
        <f t="shared" si="32"/>
        <v>395.22</v>
      </c>
      <c r="L57" s="29">
        <f t="shared" si="32"/>
        <v>406</v>
      </c>
      <c r="M57" s="29">
        <f t="shared" si="32"/>
        <v>416.64000000000004</v>
      </c>
    </row>
    <row r="58" spans="1:13" x14ac:dyDescent="0.2">
      <c r="A58" s="12"/>
      <c r="B58" s="12"/>
      <c r="C58" s="15" t="s">
        <v>14</v>
      </c>
      <c r="D58" s="16">
        <f>IF(ROUND(D56*1.5,2)&lt;$G$149,ROUND(D56*1.5,2),IF($G$149&lt;D56,D56,$G$149))</f>
        <v>22.89</v>
      </c>
      <c r="E58" s="16">
        <f t="shared" ref="E58:M58" si="33">IF(ROUND(E56*1.5,2)&lt;$G$149,ROUND(E56*1.5,2),IF($G$149&lt;E56,E56,$G$149))</f>
        <v>23.66</v>
      </c>
      <c r="F58" s="16">
        <f t="shared" si="33"/>
        <v>24.42</v>
      </c>
      <c r="G58" s="16">
        <f t="shared" si="33"/>
        <v>25.17</v>
      </c>
      <c r="H58" s="16">
        <f t="shared" si="33"/>
        <v>25.94</v>
      </c>
      <c r="I58" s="16">
        <f t="shared" si="33"/>
        <v>26.7</v>
      </c>
      <c r="J58" s="16">
        <f t="shared" si="33"/>
        <v>27.47</v>
      </c>
      <c r="K58" s="16">
        <f t="shared" si="33"/>
        <v>28.23</v>
      </c>
      <c r="L58" s="16">
        <f t="shared" si="33"/>
        <v>29</v>
      </c>
      <c r="M58" s="16">
        <f t="shared" si="33"/>
        <v>29.76</v>
      </c>
    </row>
    <row r="59" spans="1:13" x14ac:dyDescent="0.2">
      <c r="A59" s="51"/>
      <c r="B59" s="51"/>
      <c r="C59" s="28" t="s">
        <v>46</v>
      </c>
      <c r="D59" s="16">
        <f>(ROUND(D54*'Start Page'!$F$48,2)*80)+(ROUND(D56*'Start Page'!$F$48,2)*($B$15-80))</f>
        <v>0</v>
      </c>
      <c r="E59" s="16">
        <f>(ROUND(E54*'Start Page'!$F$48,2)*80)+(ROUND(E56*'Start Page'!$F$48,2)*($B$15-80))</f>
        <v>0</v>
      </c>
      <c r="F59" s="16">
        <f>(ROUND(F54*'Start Page'!$F$48,2)*80)+(ROUND(F56*'Start Page'!$F$48,2)*($B$15-80))</f>
        <v>0</v>
      </c>
      <c r="G59" s="16">
        <f>(ROUND(G54*'Start Page'!$F$48,2)*80)+(ROUND(G56*'Start Page'!$F$48,2)*($B$15-80))</f>
        <v>0</v>
      </c>
      <c r="H59" s="16">
        <f>(ROUND(H54*'Start Page'!$F$48,2)*80)+(ROUND(H56*'Start Page'!$F$48,2)*($B$15-80))</f>
        <v>0</v>
      </c>
      <c r="I59" s="16">
        <f>(ROUND(I54*'Start Page'!$F$48,2)*80)+(ROUND(I56*'Start Page'!$F$48,2)*($B$15-80))</f>
        <v>0</v>
      </c>
      <c r="J59" s="16">
        <f>(ROUND(J54*'Start Page'!$F$48,2)*80)+(ROUND(J56*'Start Page'!$F$48,2)*($B$15-80))</f>
        <v>0</v>
      </c>
      <c r="K59" s="16">
        <f>(ROUND(K54*'Start Page'!$F$48,2)*80)+(ROUND(K56*'Start Page'!$F$48,2)*($B$15-80))</f>
        <v>0</v>
      </c>
      <c r="L59" s="16">
        <f>(ROUND(L54*'Start Page'!$F$48,2)*80)+(ROUND(L56*'Start Page'!$F$48,2)*($B$15-80))</f>
        <v>0</v>
      </c>
      <c r="M59" s="16">
        <f>(ROUND(M54*'Start Page'!$F$48,2)*80)+(ROUND(M56*'Start Page'!$F$48,2)*($B$15-80))</f>
        <v>0</v>
      </c>
    </row>
    <row r="60" spans="1:13" x14ac:dyDescent="0.2">
      <c r="A60" s="12"/>
      <c r="B60" s="12">
        <f>B53+B55+B57</f>
        <v>120</v>
      </c>
      <c r="C60" s="19" t="s">
        <v>17</v>
      </c>
      <c r="D60" s="30">
        <f t="shared" ref="D60:M60" si="34">D53+D55+D57+D59</f>
        <v>2329.2200000000003</v>
      </c>
      <c r="E60" s="30">
        <f t="shared" si="34"/>
        <v>2406.8599999999997</v>
      </c>
      <c r="F60" s="30">
        <f t="shared" si="34"/>
        <v>2484.36</v>
      </c>
      <c r="G60" s="30">
        <f t="shared" si="34"/>
        <v>2562.2600000000002</v>
      </c>
      <c r="H60" s="30">
        <f t="shared" si="34"/>
        <v>2639.8999999999996</v>
      </c>
      <c r="I60" s="30">
        <f t="shared" si="34"/>
        <v>2717.4000000000005</v>
      </c>
      <c r="J60" s="30">
        <f t="shared" si="34"/>
        <v>2795.04</v>
      </c>
      <c r="K60" s="30">
        <f t="shared" si="34"/>
        <v>2872.54</v>
      </c>
      <c r="L60" s="30">
        <f t="shared" si="34"/>
        <v>2950.18</v>
      </c>
      <c r="M60" s="30">
        <f t="shared" si="34"/>
        <v>3028.48</v>
      </c>
    </row>
    <row r="61" spans="1:13" x14ac:dyDescent="0.2">
      <c r="A61" s="12"/>
      <c r="B61" s="12"/>
      <c r="C61" s="19" t="s">
        <v>33</v>
      </c>
      <c r="D61" s="30">
        <f>D60*'Start Page'!$C$65</f>
        <v>60559.720000000008</v>
      </c>
      <c r="E61" s="30">
        <f>E60*'Start Page'!$C$65</f>
        <v>62578.359999999993</v>
      </c>
      <c r="F61" s="30">
        <f>F60*'Start Page'!$C$65</f>
        <v>64593.36</v>
      </c>
      <c r="G61" s="30">
        <f>G60*'Start Page'!$C$65</f>
        <v>66618.760000000009</v>
      </c>
      <c r="H61" s="30">
        <f>H60*'Start Page'!$C$65</f>
        <v>68637.399999999994</v>
      </c>
      <c r="I61" s="30">
        <f>I60*'Start Page'!$C$65</f>
        <v>70652.400000000009</v>
      </c>
      <c r="J61" s="30">
        <f>J60*'Start Page'!$C$65</f>
        <v>72671.039999999994</v>
      </c>
      <c r="K61" s="30">
        <f>K60*'Start Page'!$C$65</f>
        <v>74686.039999999994</v>
      </c>
      <c r="L61" s="30">
        <f>L60*'Start Page'!$C$65</f>
        <v>76704.679999999993</v>
      </c>
      <c r="M61" s="30">
        <f>M60*'Start Page'!$C$65</f>
        <v>78740.479999999996</v>
      </c>
    </row>
    <row r="62" spans="1:13" s="24" customFormat="1" x14ac:dyDescent="0.2">
      <c r="A62" s="21"/>
      <c r="B62" s="21"/>
      <c r="C62" s="22" t="s">
        <v>71</v>
      </c>
      <c r="D62" s="31">
        <f>((D54*80)+(D56*($B$15-80)))*'Start Page'!$C$65</f>
        <v>57782.400000000001</v>
      </c>
      <c r="E62" s="31">
        <f>((E54*80)+(E56*($B$15-80)))*'Start Page'!$C$65</f>
        <v>59706.399999999994</v>
      </c>
      <c r="F62" s="31">
        <f>((F54*80)+(F56*($B$15-80)))*'Start Page'!$C$65</f>
        <v>61630.399999999994</v>
      </c>
      <c r="G62" s="31">
        <f>((G54*80)+(G56*($B$15-80)))*'Start Page'!$C$65</f>
        <v>63564.800000000003</v>
      </c>
      <c r="H62" s="31">
        <f>((H54*80)+(H56*($B$15-80)))*'Start Page'!$C$65</f>
        <v>65488.800000000003</v>
      </c>
      <c r="I62" s="31">
        <f>((I54*80)+(I56*($B$15-80)))*'Start Page'!$C$65</f>
        <v>67412.800000000003</v>
      </c>
      <c r="J62" s="31">
        <f>((J54*80)+(J56*($B$15-80)))*'Start Page'!$C$65</f>
        <v>69336.800000000003</v>
      </c>
      <c r="K62" s="31">
        <f>((K54*80)+(K56*($B$15-80)))*'Start Page'!$C$65</f>
        <v>71260.800000000003</v>
      </c>
      <c r="L62" s="31">
        <f>((L54*80)+(L56*($B$15-80)))*'Start Page'!$C$65</f>
        <v>73184.799999999988</v>
      </c>
      <c r="M62" s="89">
        <f>((M54*80)+(M56*($B$15-80)))*'Start Page'!$C$65</f>
        <v>75129.599999999991</v>
      </c>
    </row>
    <row r="63" spans="1:13" x14ac:dyDescent="0.2">
      <c r="A63" s="25"/>
      <c r="B63" s="25"/>
      <c r="C63" s="13" t="s">
        <v>30</v>
      </c>
      <c r="D63" s="87">
        <f>'GS Pay Scale'!B14</f>
        <v>46572</v>
      </c>
      <c r="E63" s="87">
        <f>'GS Pay Scale'!C14</f>
        <v>48125</v>
      </c>
      <c r="F63" s="87">
        <f>'GS Pay Scale'!D14</f>
        <v>49677</v>
      </c>
      <c r="G63" s="87">
        <f>'GS Pay Scale'!E14</f>
        <v>51229</v>
      </c>
      <c r="H63" s="87">
        <f>'GS Pay Scale'!F14</f>
        <v>52781</v>
      </c>
      <c r="I63" s="87">
        <f>'GS Pay Scale'!G14</f>
        <v>54334</v>
      </c>
      <c r="J63" s="87">
        <f>'GS Pay Scale'!H14</f>
        <v>55886</v>
      </c>
      <c r="K63" s="87">
        <f>'GS Pay Scale'!I14</f>
        <v>57438</v>
      </c>
      <c r="L63" s="87">
        <f>'GS Pay Scale'!J14</f>
        <v>58991</v>
      </c>
      <c r="M63" s="87">
        <f>'GS Pay Scale'!K14</f>
        <v>60543</v>
      </c>
    </row>
    <row r="64" spans="1:13" x14ac:dyDescent="0.2">
      <c r="A64" s="12"/>
      <c r="B64" s="12">
        <v>80</v>
      </c>
      <c r="C64" s="28" t="s">
        <v>44</v>
      </c>
      <c r="D64" s="87">
        <f t="shared" ref="D64:M64" si="35">D65*80</f>
        <v>1785.6</v>
      </c>
      <c r="E64" s="87">
        <f t="shared" si="35"/>
        <v>1844.8</v>
      </c>
      <c r="F64" s="87">
        <f t="shared" si="35"/>
        <v>1904</v>
      </c>
      <c r="G64" s="87">
        <f t="shared" si="35"/>
        <v>1964</v>
      </c>
      <c r="H64" s="87">
        <f t="shared" si="35"/>
        <v>2023.1999999999998</v>
      </c>
      <c r="I64" s="87">
        <f t="shared" si="35"/>
        <v>2082.4</v>
      </c>
      <c r="J64" s="87">
        <f t="shared" si="35"/>
        <v>2142.4</v>
      </c>
      <c r="K64" s="87">
        <f t="shared" si="35"/>
        <v>2201.6</v>
      </c>
      <c r="L64" s="87">
        <f t="shared" si="35"/>
        <v>2261.6</v>
      </c>
      <c r="M64" s="87">
        <f t="shared" si="35"/>
        <v>2320.8000000000002</v>
      </c>
    </row>
    <row r="65" spans="1:13" x14ac:dyDescent="0.2">
      <c r="A65" s="12"/>
      <c r="B65" s="12"/>
      <c r="C65" s="28" t="s">
        <v>20</v>
      </c>
      <c r="D65" s="29">
        <f t="shared" ref="D65:M65" si="36">ROUND(D63/2087,2)</f>
        <v>22.32</v>
      </c>
      <c r="E65" s="29">
        <f t="shared" si="36"/>
        <v>23.06</v>
      </c>
      <c r="F65" s="29">
        <f t="shared" si="36"/>
        <v>23.8</v>
      </c>
      <c r="G65" s="29">
        <f t="shared" si="36"/>
        <v>24.55</v>
      </c>
      <c r="H65" s="29">
        <f t="shared" si="36"/>
        <v>25.29</v>
      </c>
      <c r="I65" s="29">
        <f t="shared" si="36"/>
        <v>26.03</v>
      </c>
      <c r="J65" s="29">
        <f t="shared" si="36"/>
        <v>26.78</v>
      </c>
      <c r="K65" s="29">
        <f t="shared" si="36"/>
        <v>27.52</v>
      </c>
      <c r="L65" s="29">
        <f t="shared" si="36"/>
        <v>28.27</v>
      </c>
      <c r="M65" s="29">
        <f t="shared" si="36"/>
        <v>29.01</v>
      </c>
    </row>
    <row r="66" spans="1:13" x14ac:dyDescent="0.2">
      <c r="A66" s="12"/>
      <c r="B66" s="12">
        <v>26</v>
      </c>
      <c r="C66" s="15" t="s">
        <v>41</v>
      </c>
      <c r="D66" s="29">
        <f t="shared" ref="D66:M66" si="37">D67*26</f>
        <v>439.4</v>
      </c>
      <c r="E66" s="29">
        <f t="shared" si="37"/>
        <v>453.96000000000004</v>
      </c>
      <c r="F66" s="29">
        <f t="shared" si="37"/>
        <v>468.78000000000003</v>
      </c>
      <c r="G66" s="29">
        <f t="shared" si="37"/>
        <v>483.34</v>
      </c>
      <c r="H66" s="29">
        <f t="shared" si="37"/>
        <v>497.9</v>
      </c>
      <c r="I66" s="29">
        <f t="shared" si="37"/>
        <v>512.46</v>
      </c>
      <c r="J66" s="29">
        <f t="shared" si="37"/>
        <v>527.28</v>
      </c>
      <c r="K66" s="29">
        <f t="shared" si="37"/>
        <v>541.84</v>
      </c>
      <c r="L66" s="29">
        <f t="shared" si="37"/>
        <v>556.4</v>
      </c>
      <c r="M66" s="29">
        <f t="shared" si="37"/>
        <v>571.22</v>
      </c>
    </row>
    <row r="67" spans="1:13" x14ac:dyDescent="0.2">
      <c r="A67" s="12"/>
      <c r="B67" s="12"/>
      <c r="C67" s="15" t="s">
        <v>13</v>
      </c>
      <c r="D67" s="29">
        <f t="shared" ref="D67:M67" si="38">ROUND(D63/2756,2)</f>
        <v>16.899999999999999</v>
      </c>
      <c r="E67" s="29">
        <f t="shared" si="38"/>
        <v>17.46</v>
      </c>
      <c r="F67" s="29">
        <f t="shared" si="38"/>
        <v>18.03</v>
      </c>
      <c r="G67" s="29">
        <f t="shared" si="38"/>
        <v>18.59</v>
      </c>
      <c r="H67" s="29">
        <f t="shared" si="38"/>
        <v>19.149999999999999</v>
      </c>
      <c r="I67" s="29">
        <f t="shared" si="38"/>
        <v>19.71</v>
      </c>
      <c r="J67" s="29">
        <f t="shared" si="38"/>
        <v>20.28</v>
      </c>
      <c r="K67" s="29">
        <f t="shared" si="38"/>
        <v>20.84</v>
      </c>
      <c r="L67" s="29">
        <f t="shared" si="38"/>
        <v>21.4</v>
      </c>
      <c r="M67" s="29">
        <f t="shared" si="38"/>
        <v>21.97</v>
      </c>
    </row>
    <row r="68" spans="1:13" x14ac:dyDescent="0.2">
      <c r="A68" s="12" t="s">
        <v>15</v>
      </c>
      <c r="B68" s="18">
        <f>($G$3-53)*2</f>
        <v>14</v>
      </c>
      <c r="C68" s="15" t="s">
        <v>42</v>
      </c>
      <c r="D68" s="29">
        <f t="shared" ref="D68:M68" si="39">D69*$B$12</f>
        <v>354.90000000000003</v>
      </c>
      <c r="E68" s="29">
        <f t="shared" si="39"/>
        <v>366.66</v>
      </c>
      <c r="F68" s="29">
        <f t="shared" si="39"/>
        <v>378.7</v>
      </c>
      <c r="G68" s="29">
        <f t="shared" si="39"/>
        <v>390.46000000000004</v>
      </c>
      <c r="H68" s="29">
        <f t="shared" si="39"/>
        <v>402.22</v>
      </c>
      <c r="I68" s="29">
        <f t="shared" si="39"/>
        <v>413.98</v>
      </c>
      <c r="J68" s="29">
        <f t="shared" si="39"/>
        <v>425.88</v>
      </c>
      <c r="K68" s="29">
        <f t="shared" si="39"/>
        <v>437.64000000000004</v>
      </c>
      <c r="L68" s="29">
        <f t="shared" si="39"/>
        <v>449.40000000000003</v>
      </c>
      <c r="M68" s="29">
        <f t="shared" si="39"/>
        <v>461.44</v>
      </c>
    </row>
    <row r="69" spans="1:13" x14ac:dyDescent="0.2">
      <c r="A69" s="12"/>
      <c r="B69" s="12"/>
      <c r="C69" s="15" t="s">
        <v>14</v>
      </c>
      <c r="D69" s="16">
        <f t="shared" ref="D69:M69" si="40">IF(ROUND(D67*1.5,2)&lt;$G$149,ROUND(D67*1.5,2),IF($G$149&lt;D67,D67,$G$149))</f>
        <v>25.35</v>
      </c>
      <c r="E69" s="16">
        <f t="shared" si="40"/>
        <v>26.19</v>
      </c>
      <c r="F69" s="16">
        <f t="shared" si="40"/>
        <v>27.05</v>
      </c>
      <c r="G69" s="16">
        <f t="shared" si="40"/>
        <v>27.89</v>
      </c>
      <c r="H69" s="16">
        <f t="shared" si="40"/>
        <v>28.73</v>
      </c>
      <c r="I69" s="16">
        <f t="shared" si="40"/>
        <v>29.57</v>
      </c>
      <c r="J69" s="16">
        <f t="shared" si="40"/>
        <v>30.42</v>
      </c>
      <c r="K69" s="16">
        <f t="shared" si="40"/>
        <v>31.26</v>
      </c>
      <c r="L69" s="16">
        <f t="shared" si="40"/>
        <v>32.1</v>
      </c>
      <c r="M69" s="16">
        <f t="shared" si="40"/>
        <v>32.96</v>
      </c>
    </row>
    <row r="70" spans="1:13" x14ac:dyDescent="0.2">
      <c r="A70" s="51"/>
      <c r="B70" s="51"/>
      <c r="C70" s="28" t="s">
        <v>46</v>
      </c>
      <c r="D70" s="16">
        <f>(ROUND(D65*'Start Page'!$F$48,2)*80)+(ROUND(D67*'Start Page'!$F$48,2)*($B$15-80))</f>
        <v>0</v>
      </c>
      <c r="E70" s="16">
        <f>(ROUND(E65*'Start Page'!$F$48,2)*80)+(ROUND(E67*'Start Page'!$F$48,2)*($B$15-80))</f>
        <v>0</v>
      </c>
      <c r="F70" s="16">
        <f>(ROUND(F65*'Start Page'!$F$48,2)*80)+(ROUND(F67*'Start Page'!$F$48,2)*($B$15-80))</f>
        <v>0</v>
      </c>
      <c r="G70" s="16">
        <f>(ROUND(G65*'Start Page'!$F$48,2)*80)+(ROUND(G67*'Start Page'!$F$48,2)*($B$15-80))</f>
        <v>0</v>
      </c>
      <c r="H70" s="16">
        <f>(ROUND(H65*'Start Page'!$F$48,2)*80)+(ROUND(H67*'Start Page'!$F$48,2)*($B$15-80))</f>
        <v>0</v>
      </c>
      <c r="I70" s="16">
        <f>(ROUND(I65*'Start Page'!$F$48,2)*80)+(ROUND(I67*'Start Page'!$F$48,2)*($B$15-80))</f>
        <v>0</v>
      </c>
      <c r="J70" s="16">
        <f>(ROUND(J65*'Start Page'!$F$48,2)*80)+(ROUND(J67*'Start Page'!$F$48,2)*($B$15-80))</f>
        <v>0</v>
      </c>
      <c r="K70" s="16">
        <f>(ROUND(K65*'Start Page'!$F$48,2)*80)+(ROUND(K67*'Start Page'!$F$48,2)*($B$15-80))</f>
        <v>0</v>
      </c>
      <c r="L70" s="16">
        <f>(ROUND(L65*'Start Page'!$F$48,2)*80)+(ROUND(L67*'Start Page'!$F$48,2)*($B$15-80))</f>
        <v>0</v>
      </c>
      <c r="M70" s="16">
        <f>(ROUND(M65*'Start Page'!$F$48,2)*80)+(ROUND(M67*'Start Page'!$F$48,2)*($B$15-80))</f>
        <v>0</v>
      </c>
    </row>
    <row r="71" spans="1:13" x14ac:dyDescent="0.2">
      <c r="A71" s="12"/>
      <c r="B71" s="12">
        <f>B64+B66+B68</f>
        <v>120</v>
      </c>
      <c r="C71" s="19" t="s">
        <v>17</v>
      </c>
      <c r="D71" s="30">
        <f t="shared" ref="D71:M71" si="41">D64+D66+D68+D70</f>
        <v>2579.9</v>
      </c>
      <c r="E71" s="30">
        <f t="shared" si="41"/>
        <v>2665.42</v>
      </c>
      <c r="F71" s="30">
        <f t="shared" si="41"/>
        <v>2751.48</v>
      </c>
      <c r="G71" s="30">
        <f t="shared" si="41"/>
        <v>2837.8</v>
      </c>
      <c r="H71" s="30">
        <f t="shared" si="41"/>
        <v>2923.3199999999997</v>
      </c>
      <c r="I71" s="30">
        <f t="shared" si="41"/>
        <v>3008.84</v>
      </c>
      <c r="J71" s="30">
        <f t="shared" si="41"/>
        <v>3095.5600000000004</v>
      </c>
      <c r="K71" s="30">
        <f t="shared" si="41"/>
        <v>3181.08</v>
      </c>
      <c r="L71" s="30">
        <f t="shared" si="41"/>
        <v>3267.4</v>
      </c>
      <c r="M71" s="30">
        <f t="shared" si="41"/>
        <v>3353.4600000000005</v>
      </c>
    </row>
    <row r="72" spans="1:13" x14ac:dyDescent="0.2">
      <c r="A72" s="12"/>
      <c r="B72" s="12"/>
      <c r="C72" s="19" t="s">
        <v>33</v>
      </c>
      <c r="D72" s="30">
        <f>D71*'Start Page'!$C$65</f>
        <v>67077.400000000009</v>
      </c>
      <c r="E72" s="30">
        <f>E71*'Start Page'!$C$65</f>
        <v>69300.92</v>
      </c>
      <c r="F72" s="30">
        <f>F71*'Start Page'!$C$65</f>
        <v>71538.48</v>
      </c>
      <c r="G72" s="30">
        <f>G71*'Start Page'!$C$65</f>
        <v>73782.8</v>
      </c>
      <c r="H72" s="30">
        <f>H71*'Start Page'!$C$65</f>
        <v>76006.319999999992</v>
      </c>
      <c r="I72" s="30">
        <f>I71*'Start Page'!$C$65</f>
        <v>78229.84</v>
      </c>
      <c r="J72" s="30">
        <f>J71*'Start Page'!$C$65</f>
        <v>80484.560000000012</v>
      </c>
      <c r="K72" s="30">
        <f>K71*'Start Page'!$C$65</f>
        <v>82708.08</v>
      </c>
      <c r="L72" s="30">
        <f>L71*'Start Page'!$C$65</f>
        <v>84952.400000000009</v>
      </c>
      <c r="M72" s="30">
        <f>M71*'Start Page'!$C$65</f>
        <v>87189.96</v>
      </c>
    </row>
    <row r="73" spans="1:13" s="24" customFormat="1" x14ac:dyDescent="0.2">
      <c r="A73" s="21"/>
      <c r="B73" s="21"/>
      <c r="C73" s="22" t="s">
        <v>71</v>
      </c>
      <c r="D73" s="31">
        <f>((D65*80)+(D67*($B$15-80)))*'Start Page'!$C$65</f>
        <v>64001.599999999999</v>
      </c>
      <c r="E73" s="31">
        <f>((E65*80)+(E67*($B$15-80)))*'Start Page'!$C$65</f>
        <v>66123.199999999997</v>
      </c>
      <c r="F73" s="31">
        <f>((F65*80)+(F67*($B$15-80)))*'Start Page'!$C$65</f>
        <v>68255.199999999997</v>
      </c>
      <c r="G73" s="31">
        <f>((G65*80)+(G67*($B$15-80)))*'Start Page'!$C$65</f>
        <v>70397.599999999991</v>
      </c>
      <c r="H73" s="31">
        <f>((H65*80)+(H67*($B$15-80)))*'Start Page'!$C$65</f>
        <v>72519.199999999997</v>
      </c>
      <c r="I73" s="31">
        <f>((I65*80)+(I67*($B$15-80)))*'Start Page'!$C$65</f>
        <v>74640.800000000003</v>
      </c>
      <c r="J73" s="31">
        <f>((J65*80)+(J67*($B$15-80)))*'Start Page'!$C$65</f>
        <v>76793.600000000006</v>
      </c>
      <c r="K73" s="31">
        <f>((K65*80)+(K67*($B$15-80)))*'Start Page'!$C$65</f>
        <v>78915.199999999997</v>
      </c>
      <c r="L73" s="31">
        <f>((L65*80)+(L67*($B$15-80)))*'Start Page'!$C$65</f>
        <v>81057.599999999991</v>
      </c>
      <c r="M73" s="89">
        <f>((M65*80)+(M67*($B$15-80)))*'Start Page'!$C$65</f>
        <v>83189.600000000006</v>
      </c>
    </row>
    <row r="74" spans="1:13" x14ac:dyDescent="0.2">
      <c r="A74" s="25"/>
      <c r="B74" s="25"/>
      <c r="C74" s="13" t="s">
        <v>30</v>
      </c>
      <c r="D74" s="87">
        <f>'GS Pay Scale'!B15</f>
        <v>51440</v>
      </c>
      <c r="E74" s="87">
        <f>'GS Pay Scale'!C15</f>
        <v>53154</v>
      </c>
      <c r="F74" s="87">
        <f>'GS Pay Scale'!D15</f>
        <v>54868</v>
      </c>
      <c r="G74" s="87">
        <f>'GS Pay Scale'!E15</f>
        <v>56582</v>
      </c>
      <c r="H74" s="87">
        <f>'GS Pay Scale'!F15</f>
        <v>58297</v>
      </c>
      <c r="I74" s="87">
        <f>'GS Pay Scale'!G15</f>
        <v>60011</v>
      </c>
      <c r="J74" s="87">
        <f>'GS Pay Scale'!H15</f>
        <v>61725</v>
      </c>
      <c r="K74" s="87">
        <f>'GS Pay Scale'!I15</f>
        <v>63439</v>
      </c>
      <c r="L74" s="87">
        <f>'GS Pay Scale'!J15</f>
        <v>65153</v>
      </c>
      <c r="M74" s="87">
        <f>'GS Pay Scale'!K15</f>
        <v>66868</v>
      </c>
    </row>
    <row r="75" spans="1:13" x14ac:dyDescent="0.2">
      <c r="A75" s="12"/>
      <c r="B75" s="12">
        <v>80</v>
      </c>
      <c r="C75" s="28" t="s">
        <v>44</v>
      </c>
      <c r="D75" s="87">
        <f t="shared" ref="D75:M75" si="42">D76*80</f>
        <v>1972</v>
      </c>
      <c r="E75" s="87">
        <f t="shared" si="42"/>
        <v>2037.6</v>
      </c>
      <c r="F75" s="87">
        <f t="shared" si="42"/>
        <v>2103.1999999999998</v>
      </c>
      <c r="G75" s="87">
        <f t="shared" si="42"/>
        <v>2168.8000000000002</v>
      </c>
      <c r="H75" s="87">
        <f t="shared" si="42"/>
        <v>2234.4</v>
      </c>
      <c r="I75" s="87">
        <f t="shared" si="42"/>
        <v>2300</v>
      </c>
      <c r="J75" s="87">
        <f t="shared" si="42"/>
        <v>2366.3999999999996</v>
      </c>
      <c r="K75" s="87">
        <f t="shared" si="42"/>
        <v>2432</v>
      </c>
      <c r="L75" s="87">
        <f t="shared" si="42"/>
        <v>2497.6</v>
      </c>
      <c r="M75" s="87">
        <f t="shared" si="42"/>
        <v>2563.1999999999998</v>
      </c>
    </row>
    <row r="76" spans="1:13" x14ac:dyDescent="0.2">
      <c r="A76" s="12"/>
      <c r="B76" s="12"/>
      <c r="C76" s="28" t="s">
        <v>20</v>
      </c>
      <c r="D76" s="29">
        <f t="shared" ref="D76:M76" si="43">ROUND(D74/2087,2)</f>
        <v>24.65</v>
      </c>
      <c r="E76" s="29">
        <f t="shared" si="43"/>
        <v>25.47</v>
      </c>
      <c r="F76" s="29">
        <f t="shared" si="43"/>
        <v>26.29</v>
      </c>
      <c r="G76" s="29">
        <f t="shared" si="43"/>
        <v>27.11</v>
      </c>
      <c r="H76" s="29">
        <f t="shared" si="43"/>
        <v>27.93</v>
      </c>
      <c r="I76" s="29">
        <f t="shared" si="43"/>
        <v>28.75</v>
      </c>
      <c r="J76" s="29">
        <f t="shared" si="43"/>
        <v>29.58</v>
      </c>
      <c r="K76" s="29">
        <f t="shared" si="43"/>
        <v>30.4</v>
      </c>
      <c r="L76" s="29">
        <f t="shared" si="43"/>
        <v>31.22</v>
      </c>
      <c r="M76" s="29">
        <f t="shared" si="43"/>
        <v>32.04</v>
      </c>
    </row>
    <row r="77" spans="1:13" x14ac:dyDescent="0.2">
      <c r="A77" s="12"/>
      <c r="B77" s="12">
        <v>26</v>
      </c>
      <c r="C77" s="15" t="s">
        <v>41</v>
      </c>
      <c r="D77" s="29">
        <f t="shared" ref="D77:M77" si="44">D78*26</f>
        <v>485.16</v>
      </c>
      <c r="E77" s="29">
        <f t="shared" si="44"/>
        <v>501.53999999999996</v>
      </c>
      <c r="F77" s="29">
        <f t="shared" si="44"/>
        <v>517.66</v>
      </c>
      <c r="G77" s="29">
        <f t="shared" si="44"/>
        <v>533.78</v>
      </c>
      <c r="H77" s="29">
        <f t="shared" si="44"/>
        <v>549.9</v>
      </c>
      <c r="I77" s="29">
        <f t="shared" si="44"/>
        <v>566.02</v>
      </c>
      <c r="J77" s="29">
        <f t="shared" si="44"/>
        <v>582.4</v>
      </c>
      <c r="K77" s="29">
        <f t="shared" si="44"/>
        <v>598.52</v>
      </c>
      <c r="L77" s="29">
        <f t="shared" si="44"/>
        <v>614.64</v>
      </c>
      <c r="M77" s="29">
        <f t="shared" si="44"/>
        <v>630.76</v>
      </c>
    </row>
    <row r="78" spans="1:13" x14ac:dyDescent="0.2">
      <c r="A78" s="12"/>
      <c r="B78" s="12"/>
      <c r="C78" s="15" t="s">
        <v>13</v>
      </c>
      <c r="D78" s="29">
        <f t="shared" ref="D78:M78" si="45">ROUND(D74/2756,2)</f>
        <v>18.66</v>
      </c>
      <c r="E78" s="29">
        <f t="shared" si="45"/>
        <v>19.29</v>
      </c>
      <c r="F78" s="29">
        <f t="shared" si="45"/>
        <v>19.91</v>
      </c>
      <c r="G78" s="29">
        <f t="shared" si="45"/>
        <v>20.53</v>
      </c>
      <c r="H78" s="29">
        <f t="shared" si="45"/>
        <v>21.15</v>
      </c>
      <c r="I78" s="29">
        <f t="shared" si="45"/>
        <v>21.77</v>
      </c>
      <c r="J78" s="29">
        <f t="shared" si="45"/>
        <v>22.4</v>
      </c>
      <c r="K78" s="29">
        <f t="shared" si="45"/>
        <v>23.02</v>
      </c>
      <c r="L78" s="29">
        <f t="shared" si="45"/>
        <v>23.64</v>
      </c>
      <c r="M78" s="29">
        <f t="shared" si="45"/>
        <v>24.26</v>
      </c>
    </row>
    <row r="79" spans="1:13" x14ac:dyDescent="0.2">
      <c r="A79" s="12" t="s">
        <v>21</v>
      </c>
      <c r="B79" s="18">
        <f>($G$3-53)*2</f>
        <v>14</v>
      </c>
      <c r="C79" s="15" t="s">
        <v>42</v>
      </c>
      <c r="D79" s="29">
        <f t="shared" ref="D79:M79" si="46">D80*$B$12</f>
        <v>391.85999999999996</v>
      </c>
      <c r="E79" s="29">
        <f t="shared" si="46"/>
        <v>405.16</v>
      </c>
      <c r="F79" s="29">
        <f t="shared" si="46"/>
        <v>418.18</v>
      </c>
      <c r="G79" s="29">
        <f t="shared" si="46"/>
        <v>431.2</v>
      </c>
      <c r="H79" s="29">
        <f t="shared" si="46"/>
        <v>444.22</v>
      </c>
      <c r="I79" s="29">
        <f t="shared" si="46"/>
        <v>457.23999999999995</v>
      </c>
      <c r="J79" s="29">
        <f t="shared" si="46"/>
        <v>470.40000000000003</v>
      </c>
      <c r="K79" s="29">
        <f t="shared" si="46"/>
        <v>483.42</v>
      </c>
      <c r="L79" s="29">
        <f t="shared" si="46"/>
        <v>496.44</v>
      </c>
      <c r="M79" s="29">
        <f t="shared" si="46"/>
        <v>509.46000000000004</v>
      </c>
    </row>
    <row r="80" spans="1:13" x14ac:dyDescent="0.2">
      <c r="A80" s="12"/>
      <c r="B80" s="12"/>
      <c r="C80" s="15" t="s">
        <v>14</v>
      </c>
      <c r="D80" s="16">
        <f t="shared" ref="D80:M80" si="47">IF(ROUND(D78*1.5,2)&lt;$G$149,ROUND(D78*1.5,2),IF($G$149&lt;D78,D78,$G$149))</f>
        <v>27.99</v>
      </c>
      <c r="E80" s="16">
        <f t="shared" si="47"/>
        <v>28.94</v>
      </c>
      <c r="F80" s="16">
        <f t="shared" si="47"/>
        <v>29.87</v>
      </c>
      <c r="G80" s="16">
        <f t="shared" si="47"/>
        <v>30.8</v>
      </c>
      <c r="H80" s="16">
        <f t="shared" si="47"/>
        <v>31.73</v>
      </c>
      <c r="I80" s="16">
        <f t="shared" si="47"/>
        <v>32.659999999999997</v>
      </c>
      <c r="J80" s="16">
        <f t="shared" si="47"/>
        <v>33.6</v>
      </c>
      <c r="K80" s="16">
        <f t="shared" si="47"/>
        <v>34.53</v>
      </c>
      <c r="L80" s="16">
        <f t="shared" si="47"/>
        <v>35.46</v>
      </c>
      <c r="M80" s="16">
        <f t="shared" si="47"/>
        <v>36.39</v>
      </c>
    </row>
    <row r="81" spans="1:13" x14ac:dyDescent="0.2">
      <c r="A81" s="51"/>
      <c r="B81" s="51"/>
      <c r="C81" s="28" t="s">
        <v>46</v>
      </c>
      <c r="D81" s="16">
        <f>(ROUND(D76*'Start Page'!$F$48,2)*80)+(ROUND(D78*'Start Page'!$F$48,2)*($B$15-80))</f>
        <v>0</v>
      </c>
      <c r="E81" s="16">
        <f>(ROUND(E76*'Start Page'!$F$48,2)*80)+(ROUND(E78*'Start Page'!$F$48,2)*($B$15-80))</f>
        <v>0</v>
      </c>
      <c r="F81" s="16">
        <f>(ROUND(F76*'Start Page'!$F$48,2)*80)+(ROUND(F78*'Start Page'!$F$48,2)*($B$15-80))</f>
        <v>0</v>
      </c>
      <c r="G81" s="16">
        <f>(ROUND(G76*'Start Page'!$F$48,2)*80)+(ROUND(G78*'Start Page'!$F$48,2)*($B$15-80))</f>
        <v>0</v>
      </c>
      <c r="H81" s="16">
        <f>(ROUND(H76*'Start Page'!$F$48,2)*80)+(ROUND(H78*'Start Page'!$F$48,2)*($B$15-80))</f>
        <v>0</v>
      </c>
      <c r="I81" s="16">
        <f>(ROUND(I76*'Start Page'!$F$48,2)*80)+(ROUND(I78*'Start Page'!$F$48,2)*($B$15-80))</f>
        <v>0</v>
      </c>
      <c r="J81" s="16">
        <f>(ROUND(J76*'Start Page'!$F$48,2)*80)+(ROUND(J78*'Start Page'!$F$48,2)*($B$15-80))</f>
        <v>0</v>
      </c>
      <c r="K81" s="16">
        <f>(ROUND(K76*'Start Page'!$F$48,2)*80)+(ROUND(K78*'Start Page'!$F$48,2)*($B$15-80))</f>
        <v>0</v>
      </c>
      <c r="L81" s="16">
        <f>(ROUND(L76*'Start Page'!$F$48,2)*80)+(ROUND(L78*'Start Page'!$F$48,2)*($B$15-80))</f>
        <v>0</v>
      </c>
      <c r="M81" s="16">
        <f>(ROUND(M76*'Start Page'!$F$48,2)*80)+(ROUND(M78*'Start Page'!$F$48,2)*($B$15-80))</f>
        <v>0</v>
      </c>
    </row>
    <row r="82" spans="1:13" x14ac:dyDescent="0.2">
      <c r="A82" s="12"/>
      <c r="B82" s="12">
        <f>B75+B77+B79</f>
        <v>120</v>
      </c>
      <c r="C82" s="19" t="s">
        <v>17</v>
      </c>
      <c r="D82" s="30">
        <f t="shared" ref="D82:M82" si="48">D75+D77+D79+D81</f>
        <v>2849.02</v>
      </c>
      <c r="E82" s="30">
        <f t="shared" si="48"/>
        <v>2944.2999999999997</v>
      </c>
      <c r="F82" s="30">
        <f t="shared" si="48"/>
        <v>3039.0399999999995</v>
      </c>
      <c r="G82" s="30">
        <f t="shared" si="48"/>
        <v>3133.7799999999997</v>
      </c>
      <c r="H82" s="30">
        <f t="shared" si="48"/>
        <v>3228.5200000000004</v>
      </c>
      <c r="I82" s="30">
        <f t="shared" si="48"/>
        <v>3323.2599999999998</v>
      </c>
      <c r="J82" s="30">
        <f t="shared" si="48"/>
        <v>3419.2</v>
      </c>
      <c r="K82" s="30">
        <f t="shared" si="48"/>
        <v>3513.94</v>
      </c>
      <c r="L82" s="30">
        <f t="shared" si="48"/>
        <v>3608.68</v>
      </c>
      <c r="M82" s="30">
        <f t="shared" si="48"/>
        <v>3703.42</v>
      </c>
    </row>
    <row r="83" spans="1:13" x14ac:dyDescent="0.2">
      <c r="A83" s="12"/>
      <c r="B83" s="12"/>
      <c r="C83" s="19" t="s">
        <v>33</v>
      </c>
      <c r="D83" s="30">
        <f>D82*'Start Page'!$C$65</f>
        <v>74074.52</v>
      </c>
      <c r="E83" s="30">
        <f>E82*'Start Page'!$C$65</f>
        <v>76551.799999999988</v>
      </c>
      <c r="F83" s="30">
        <f>F82*'Start Page'!$C$65</f>
        <v>79015.039999999994</v>
      </c>
      <c r="G83" s="30">
        <f>G82*'Start Page'!$C$65</f>
        <v>81478.28</v>
      </c>
      <c r="H83" s="30">
        <f>H82*'Start Page'!$C$65</f>
        <v>83941.520000000019</v>
      </c>
      <c r="I83" s="30">
        <f>I82*'Start Page'!$C$65</f>
        <v>86404.76</v>
      </c>
      <c r="J83" s="30">
        <f>J82*'Start Page'!$C$65</f>
        <v>88899.199999999997</v>
      </c>
      <c r="K83" s="30">
        <f>K82*'Start Page'!$C$65</f>
        <v>91362.44</v>
      </c>
      <c r="L83" s="30">
        <f>L82*'Start Page'!$C$65</f>
        <v>93825.68</v>
      </c>
      <c r="M83" s="30">
        <f>M82*'Start Page'!$C$65</f>
        <v>96288.92</v>
      </c>
    </row>
    <row r="84" spans="1:13" s="24" customFormat="1" x14ac:dyDescent="0.2">
      <c r="A84" s="21"/>
      <c r="B84" s="21"/>
      <c r="C84" s="22" t="s">
        <v>71</v>
      </c>
      <c r="D84" s="31">
        <f>((D76*80)+(D78*($B$15-80)))*'Start Page'!$C$65</f>
        <v>70678.400000000009</v>
      </c>
      <c r="E84" s="31">
        <f>((E76*80)+(E78*($B$15-80)))*'Start Page'!$C$65</f>
        <v>73039.199999999997</v>
      </c>
      <c r="F84" s="31">
        <f>((F76*80)+(F78*($B$15-80)))*'Start Page'!$C$65</f>
        <v>75389.599999999991</v>
      </c>
      <c r="G84" s="31">
        <f>((G76*80)+(G78*($B$15-80)))*'Start Page'!$C$65</f>
        <v>77740</v>
      </c>
      <c r="H84" s="31">
        <f>((H76*80)+(H78*($B$15-80)))*'Start Page'!$C$65</f>
        <v>80090.400000000009</v>
      </c>
      <c r="I84" s="31">
        <f>((I76*80)+(I78*($B$15-80)))*'Start Page'!$C$65</f>
        <v>82440.800000000003</v>
      </c>
      <c r="J84" s="31">
        <f>((J76*80)+(J78*($B$15-80)))*'Start Page'!$C$65</f>
        <v>84822.399999999994</v>
      </c>
      <c r="K84" s="31">
        <f>((K76*80)+(K78*($B$15-80)))*'Start Page'!$C$65</f>
        <v>87172.800000000003</v>
      </c>
      <c r="L84" s="31">
        <f>((L76*80)+(L78*($B$15-80)))*'Start Page'!$C$65</f>
        <v>89523.199999999997</v>
      </c>
      <c r="M84" s="89">
        <f>((M76*80)+(M78*($B$15-80)))*'Start Page'!$C$65</f>
        <v>91873.599999999991</v>
      </c>
    </row>
    <row r="85" spans="1:13" x14ac:dyDescent="0.2">
      <c r="A85" s="25"/>
      <c r="B85" s="25"/>
      <c r="C85" s="13" t="s">
        <v>30</v>
      </c>
      <c r="D85" s="87">
        <f>'GS Pay Scale'!B16</f>
        <v>56647</v>
      </c>
      <c r="E85" s="87">
        <f>'GS Pay Scale'!C16</f>
        <v>58535</v>
      </c>
      <c r="F85" s="87">
        <f>'GS Pay Scale'!D16</f>
        <v>60423</v>
      </c>
      <c r="G85" s="87">
        <f>'GS Pay Scale'!E16</f>
        <v>62310</v>
      </c>
      <c r="H85" s="87">
        <f>'GS Pay Scale'!F16</f>
        <v>64198</v>
      </c>
      <c r="I85" s="87">
        <f>'GS Pay Scale'!G16</f>
        <v>66086</v>
      </c>
      <c r="J85" s="87">
        <f>'GS Pay Scale'!H16</f>
        <v>67973</v>
      </c>
      <c r="K85" s="87">
        <f>'GS Pay Scale'!I16</f>
        <v>69861</v>
      </c>
      <c r="L85" s="87">
        <f>'GS Pay Scale'!J16</f>
        <v>71749</v>
      </c>
      <c r="M85" s="87">
        <f>'GS Pay Scale'!K16</f>
        <v>73637</v>
      </c>
    </row>
    <row r="86" spans="1:13" x14ac:dyDescent="0.2">
      <c r="A86" s="12"/>
      <c r="B86" s="12">
        <v>80</v>
      </c>
      <c r="C86" s="28" t="s">
        <v>44</v>
      </c>
      <c r="D86" s="87">
        <f t="shared" ref="D86:M86" si="49">D87*80</f>
        <v>2171.1999999999998</v>
      </c>
      <c r="E86" s="87">
        <f t="shared" si="49"/>
        <v>2244</v>
      </c>
      <c r="F86" s="87">
        <f t="shared" si="49"/>
        <v>2316</v>
      </c>
      <c r="G86" s="87">
        <f t="shared" si="49"/>
        <v>2388.8000000000002</v>
      </c>
      <c r="H86" s="87">
        <f t="shared" si="49"/>
        <v>2460.8000000000002</v>
      </c>
      <c r="I86" s="87">
        <f t="shared" si="49"/>
        <v>2533.6000000000004</v>
      </c>
      <c r="J86" s="87">
        <f t="shared" si="49"/>
        <v>2605.6</v>
      </c>
      <c r="K86" s="87">
        <f t="shared" si="49"/>
        <v>2677.6</v>
      </c>
      <c r="L86" s="87">
        <f t="shared" si="49"/>
        <v>2750.4</v>
      </c>
      <c r="M86" s="87">
        <f t="shared" si="49"/>
        <v>2822.4</v>
      </c>
    </row>
    <row r="87" spans="1:13" x14ac:dyDescent="0.2">
      <c r="A87" s="12"/>
      <c r="B87" s="12"/>
      <c r="C87" s="28" t="s">
        <v>20</v>
      </c>
      <c r="D87" s="29">
        <f t="shared" ref="D87:M87" si="50">ROUND(D85/2087,2)</f>
        <v>27.14</v>
      </c>
      <c r="E87" s="29">
        <f t="shared" si="50"/>
        <v>28.05</v>
      </c>
      <c r="F87" s="29">
        <f t="shared" si="50"/>
        <v>28.95</v>
      </c>
      <c r="G87" s="29">
        <f t="shared" si="50"/>
        <v>29.86</v>
      </c>
      <c r="H87" s="29">
        <f t="shared" si="50"/>
        <v>30.76</v>
      </c>
      <c r="I87" s="29">
        <f t="shared" si="50"/>
        <v>31.67</v>
      </c>
      <c r="J87" s="29">
        <f t="shared" si="50"/>
        <v>32.57</v>
      </c>
      <c r="K87" s="29">
        <f t="shared" si="50"/>
        <v>33.47</v>
      </c>
      <c r="L87" s="29">
        <f t="shared" si="50"/>
        <v>34.380000000000003</v>
      </c>
      <c r="M87" s="29">
        <f t="shared" si="50"/>
        <v>35.28</v>
      </c>
    </row>
    <row r="88" spans="1:13" x14ac:dyDescent="0.2">
      <c r="A88" s="12"/>
      <c r="B88" s="12">
        <v>26</v>
      </c>
      <c r="C88" s="15" t="s">
        <v>41</v>
      </c>
      <c r="D88" s="29">
        <f t="shared" ref="D88:M88" si="51">D89*26</f>
        <v>534.30000000000007</v>
      </c>
      <c r="E88" s="29">
        <f t="shared" si="51"/>
        <v>552.24</v>
      </c>
      <c r="F88" s="29">
        <f t="shared" si="51"/>
        <v>569.92000000000007</v>
      </c>
      <c r="G88" s="29">
        <f t="shared" si="51"/>
        <v>587.86</v>
      </c>
      <c r="H88" s="29">
        <f t="shared" si="51"/>
        <v>605.54</v>
      </c>
      <c r="I88" s="29">
        <f t="shared" si="51"/>
        <v>623.48</v>
      </c>
      <c r="J88" s="29">
        <f t="shared" si="51"/>
        <v>641.16</v>
      </c>
      <c r="K88" s="29">
        <f t="shared" si="51"/>
        <v>659.1</v>
      </c>
      <c r="L88" s="29">
        <f t="shared" si="51"/>
        <v>676.78</v>
      </c>
      <c r="M88" s="29">
        <f t="shared" si="51"/>
        <v>694.72</v>
      </c>
    </row>
    <row r="89" spans="1:13" x14ac:dyDescent="0.2">
      <c r="A89" s="12"/>
      <c r="B89" s="12"/>
      <c r="C89" s="15" t="s">
        <v>13</v>
      </c>
      <c r="D89" s="29">
        <f t="shared" ref="D89:M89" si="52">ROUND(D85/2756,2)</f>
        <v>20.55</v>
      </c>
      <c r="E89" s="29">
        <f t="shared" si="52"/>
        <v>21.24</v>
      </c>
      <c r="F89" s="29">
        <f t="shared" si="52"/>
        <v>21.92</v>
      </c>
      <c r="G89" s="29">
        <f t="shared" si="52"/>
        <v>22.61</v>
      </c>
      <c r="H89" s="29">
        <f t="shared" si="52"/>
        <v>23.29</v>
      </c>
      <c r="I89" s="29">
        <f t="shared" si="52"/>
        <v>23.98</v>
      </c>
      <c r="J89" s="29">
        <f t="shared" si="52"/>
        <v>24.66</v>
      </c>
      <c r="K89" s="29">
        <f t="shared" si="52"/>
        <v>25.35</v>
      </c>
      <c r="L89" s="29">
        <f t="shared" si="52"/>
        <v>26.03</v>
      </c>
      <c r="M89" s="29">
        <f t="shared" si="52"/>
        <v>26.72</v>
      </c>
    </row>
    <row r="90" spans="1:13" x14ac:dyDescent="0.2">
      <c r="A90" s="12" t="s">
        <v>25</v>
      </c>
      <c r="B90" s="18">
        <f>($G$3-53)*2</f>
        <v>14</v>
      </c>
      <c r="C90" s="15" t="s">
        <v>42</v>
      </c>
      <c r="D90" s="29">
        <f t="shared" ref="D90:M90" si="53">D91*$B$12</f>
        <v>431.62</v>
      </c>
      <c r="E90" s="29">
        <f t="shared" si="53"/>
        <v>446.03999999999996</v>
      </c>
      <c r="F90" s="29">
        <f t="shared" si="53"/>
        <v>460.32000000000005</v>
      </c>
      <c r="G90" s="29">
        <f t="shared" si="53"/>
        <v>474.88</v>
      </c>
      <c r="H90" s="29">
        <f t="shared" si="53"/>
        <v>489.15999999999997</v>
      </c>
      <c r="I90" s="29">
        <f t="shared" si="53"/>
        <v>503.58</v>
      </c>
      <c r="J90" s="29">
        <f t="shared" si="53"/>
        <v>517.86</v>
      </c>
      <c r="K90" s="29">
        <f t="shared" si="53"/>
        <v>532.42000000000007</v>
      </c>
      <c r="L90" s="29">
        <f t="shared" si="53"/>
        <v>546.69999999999993</v>
      </c>
      <c r="M90" s="29">
        <f t="shared" si="53"/>
        <v>561.12</v>
      </c>
    </row>
    <row r="91" spans="1:13" x14ac:dyDescent="0.2">
      <c r="A91" s="12"/>
      <c r="B91" s="12"/>
      <c r="C91" s="15" t="s">
        <v>14</v>
      </c>
      <c r="D91" s="16">
        <f t="shared" ref="D91:M91" si="54">IF(ROUND(D89*1.5,2)&lt;$G$149,ROUND(D89*1.5,2),IF($G$149&lt;D89,D89,$G$149))</f>
        <v>30.83</v>
      </c>
      <c r="E91" s="16">
        <f t="shared" si="54"/>
        <v>31.86</v>
      </c>
      <c r="F91" s="16">
        <f t="shared" si="54"/>
        <v>32.880000000000003</v>
      </c>
      <c r="G91" s="16">
        <f t="shared" si="54"/>
        <v>33.92</v>
      </c>
      <c r="H91" s="16">
        <f t="shared" si="54"/>
        <v>34.94</v>
      </c>
      <c r="I91" s="16">
        <f t="shared" si="54"/>
        <v>35.97</v>
      </c>
      <c r="J91" s="16">
        <f t="shared" si="54"/>
        <v>36.99</v>
      </c>
      <c r="K91" s="16">
        <f t="shared" si="54"/>
        <v>38.03</v>
      </c>
      <c r="L91" s="16">
        <f t="shared" si="54"/>
        <v>39.049999999999997</v>
      </c>
      <c r="M91" s="16">
        <f t="shared" si="54"/>
        <v>40.08</v>
      </c>
    </row>
    <row r="92" spans="1:13" x14ac:dyDescent="0.2">
      <c r="A92" s="51"/>
      <c r="B92" s="51"/>
      <c r="C92" s="28" t="s">
        <v>46</v>
      </c>
      <c r="D92" s="16">
        <f>(ROUND(D87*'Start Page'!$F$48,2)*80)+(ROUND(D89*'Start Page'!$F$48,2)*($B$15-80))</f>
        <v>0</v>
      </c>
      <c r="E92" s="16">
        <f>(ROUND(E87*'Start Page'!$F$48,2)*80)+(ROUND(E89*'Start Page'!$F$48,2)*($B$15-80))</f>
        <v>0</v>
      </c>
      <c r="F92" s="16">
        <f>(ROUND(F87*'Start Page'!$F$48,2)*80)+(ROUND(F89*'Start Page'!$F$48,2)*($B$15-80))</f>
        <v>0</v>
      </c>
      <c r="G92" s="16">
        <f>(ROUND(G87*'Start Page'!$F$48,2)*80)+(ROUND(G89*'Start Page'!$F$48,2)*($B$15-80))</f>
        <v>0</v>
      </c>
      <c r="H92" s="16">
        <f>(ROUND(H87*'Start Page'!$F$48,2)*80)+(ROUND(H89*'Start Page'!$F$48,2)*($B$15-80))</f>
        <v>0</v>
      </c>
      <c r="I92" s="16">
        <f>(ROUND(I87*'Start Page'!$F$48,2)*80)+(ROUND(I89*'Start Page'!$F$48,2)*($B$15-80))</f>
        <v>0</v>
      </c>
      <c r="J92" s="16">
        <f>(ROUND(J87*'Start Page'!$F$48,2)*80)+(ROUND(J89*'Start Page'!$F$48,2)*($B$15-80))</f>
        <v>0</v>
      </c>
      <c r="K92" s="16">
        <f>(ROUND(K87*'Start Page'!$F$48,2)*80)+(ROUND(K89*'Start Page'!$F$48,2)*($B$15-80))</f>
        <v>0</v>
      </c>
      <c r="L92" s="16">
        <f>(ROUND(L87*'Start Page'!$F$48,2)*80)+(ROUND(L89*'Start Page'!$F$48,2)*($B$15-80))</f>
        <v>0</v>
      </c>
      <c r="M92" s="16">
        <f>(ROUND(M87*'Start Page'!$F$48,2)*80)+(ROUND(M89*'Start Page'!$F$48,2)*($B$15-80))</f>
        <v>0</v>
      </c>
    </row>
    <row r="93" spans="1:13" x14ac:dyDescent="0.2">
      <c r="A93" s="12"/>
      <c r="B93" s="12">
        <f>B86+B88+B90</f>
        <v>120</v>
      </c>
      <c r="C93" s="19" t="s">
        <v>17</v>
      </c>
      <c r="D93" s="30">
        <f t="shared" ref="D93:M93" si="55">D86+D88+D90+D92</f>
        <v>3137.12</v>
      </c>
      <c r="E93" s="30">
        <f t="shared" si="55"/>
        <v>3242.2799999999997</v>
      </c>
      <c r="F93" s="30">
        <f t="shared" si="55"/>
        <v>3346.2400000000002</v>
      </c>
      <c r="G93" s="30">
        <f t="shared" si="55"/>
        <v>3451.5400000000004</v>
      </c>
      <c r="H93" s="30">
        <f t="shared" si="55"/>
        <v>3555.5</v>
      </c>
      <c r="I93" s="30">
        <f t="shared" si="55"/>
        <v>3660.6600000000003</v>
      </c>
      <c r="J93" s="30">
        <f t="shared" si="55"/>
        <v>3764.62</v>
      </c>
      <c r="K93" s="30">
        <f t="shared" si="55"/>
        <v>3869.12</v>
      </c>
      <c r="L93" s="30">
        <f t="shared" si="55"/>
        <v>3973.88</v>
      </c>
      <c r="M93" s="30">
        <f t="shared" si="55"/>
        <v>4078.24</v>
      </c>
    </row>
    <row r="94" spans="1:13" x14ac:dyDescent="0.2">
      <c r="A94" s="12"/>
      <c r="B94" s="12"/>
      <c r="C94" s="19" t="s">
        <v>33</v>
      </c>
      <c r="D94" s="30">
        <f>D93*'Start Page'!$C$65</f>
        <v>81565.119999999995</v>
      </c>
      <c r="E94" s="30">
        <f>E93*'Start Page'!$C$65</f>
        <v>84299.28</v>
      </c>
      <c r="F94" s="30">
        <f>F93*'Start Page'!$C$65</f>
        <v>87002.240000000005</v>
      </c>
      <c r="G94" s="30">
        <f>G93*'Start Page'!$C$65</f>
        <v>89740.040000000008</v>
      </c>
      <c r="H94" s="30">
        <f>H93*'Start Page'!$C$65</f>
        <v>92443</v>
      </c>
      <c r="I94" s="30">
        <f>I93*'Start Page'!$C$65</f>
        <v>95177.16</v>
      </c>
      <c r="J94" s="30">
        <f>J93*'Start Page'!$C$65</f>
        <v>97880.12</v>
      </c>
      <c r="K94" s="30">
        <f>K93*'Start Page'!$C$65</f>
        <v>100597.12</v>
      </c>
      <c r="L94" s="30">
        <f>L93*'Start Page'!$C$65</f>
        <v>103320.88</v>
      </c>
      <c r="M94" s="30">
        <f>M93*'Start Page'!$C$65</f>
        <v>106034.23999999999</v>
      </c>
    </row>
    <row r="95" spans="1:13" s="24" customFormat="1" x14ac:dyDescent="0.2">
      <c r="A95" s="21"/>
      <c r="B95" s="21"/>
      <c r="C95" s="22" t="s">
        <v>71</v>
      </c>
      <c r="D95" s="31">
        <f>((D87*80)+(D89*($B$15-80)))*'Start Page'!$C$65</f>
        <v>77823.199999999997</v>
      </c>
      <c r="E95" s="31">
        <f>((E87*80)+(E89*($B$15-80)))*'Start Page'!$C$65</f>
        <v>80433.599999999991</v>
      </c>
      <c r="F95" s="31">
        <f>((F87*80)+(F89*($B$15-80)))*'Start Page'!$C$65</f>
        <v>83012.800000000003</v>
      </c>
      <c r="G95" s="31">
        <f>((G87*80)+(G89*($B$15-80)))*'Start Page'!$C$65</f>
        <v>85623.200000000012</v>
      </c>
      <c r="H95" s="31">
        <f>((H87*80)+(H89*($B$15-80)))*'Start Page'!$C$65</f>
        <v>88202.400000000009</v>
      </c>
      <c r="I95" s="31">
        <f>((I87*80)+(I89*($B$15-80)))*'Start Page'!$C$65</f>
        <v>90812.800000000003</v>
      </c>
      <c r="J95" s="31">
        <f>((J87*80)+(J89*($B$15-80)))*'Start Page'!$C$65</f>
        <v>93392</v>
      </c>
      <c r="K95" s="31">
        <f>((K87*80)+(K89*($B$15-80)))*'Start Page'!$C$65</f>
        <v>95981.599999999991</v>
      </c>
      <c r="L95" s="31">
        <f>((L87*80)+(L89*($B$15-80)))*'Start Page'!$C$65</f>
        <v>98581.6</v>
      </c>
      <c r="M95" s="89">
        <f>((M87*80)+(M89*($B$15-80)))*'Start Page'!$C$65</f>
        <v>101171.2</v>
      </c>
    </row>
    <row r="96" spans="1:13" x14ac:dyDescent="0.2">
      <c r="A96" s="11" t="s">
        <v>0</v>
      </c>
      <c r="B96" s="11" t="s">
        <v>43</v>
      </c>
      <c r="C96" s="11" t="s">
        <v>1</v>
      </c>
      <c r="D96" s="11" t="s">
        <v>2</v>
      </c>
      <c r="E96" s="11" t="s">
        <v>3</v>
      </c>
      <c r="F96" s="11" t="s">
        <v>4</v>
      </c>
      <c r="G96" s="11" t="s">
        <v>5</v>
      </c>
      <c r="H96" s="11" t="s">
        <v>6</v>
      </c>
      <c r="I96" s="11" t="s">
        <v>7</v>
      </c>
      <c r="J96" s="11" t="s">
        <v>8</v>
      </c>
      <c r="K96" s="11" t="s">
        <v>9</v>
      </c>
      <c r="L96" s="11" t="s">
        <v>10</v>
      </c>
      <c r="M96" s="11" t="s">
        <v>11</v>
      </c>
    </row>
    <row r="97" spans="1:13" x14ac:dyDescent="0.2">
      <c r="A97" s="25"/>
      <c r="B97" s="25"/>
      <c r="C97" s="13" t="s">
        <v>30</v>
      </c>
      <c r="D97" s="87">
        <f>'GS Pay Scale'!B17</f>
        <v>62236</v>
      </c>
      <c r="E97" s="87">
        <f>'GS Pay Scale'!C17</f>
        <v>64311</v>
      </c>
      <c r="F97" s="87">
        <f>'GS Pay Scale'!D17</f>
        <v>66386</v>
      </c>
      <c r="G97" s="87">
        <f>'GS Pay Scale'!E17</f>
        <v>68462</v>
      </c>
      <c r="H97" s="87">
        <f>'GS Pay Scale'!F17</f>
        <v>70537</v>
      </c>
      <c r="I97" s="87">
        <f>'GS Pay Scale'!G17</f>
        <v>72612</v>
      </c>
      <c r="J97" s="87">
        <f>'GS Pay Scale'!H17</f>
        <v>74687</v>
      </c>
      <c r="K97" s="87">
        <f>'GS Pay Scale'!I17</f>
        <v>76762</v>
      </c>
      <c r="L97" s="87">
        <f>'GS Pay Scale'!J17</f>
        <v>78837</v>
      </c>
      <c r="M97" s="87">
        <f>'GS Pay Scale'!K17</f>
        <v>80912</v>
      </c>
    </row>
    <row r="98" spans="1:13" x14ac:dyDescent="0.2">
      <c r="A98" s="12"/>
      <c r="B98" s="12">
        <v>80</v>
      </c>
      <c r="C98" s="28" t="s">
        <v>44</v>
      </c>
      <c r="D98" s="87">
        <f t="shared" ref="D98:M98" si="56">D99*80</f>
        <v>2385.6</v>
      </c>
      <c r="E98" s="87">
        <f t="shared" si="56"/>
        <v>2465.6</v>
      </c>
      <c r="F98" s="87">
        <f t="shared" si="56"/>
        <v>2544.7999999999997</v>
      </c>
      <c r="G98" s="87">
        <f t="shared" si="56"/>
        <v>2624</v>
      </c>
      <c r="H98" s="87">
        <f t="shared" si="56"/>
        <v>2704</v>
      </c>
      <c r="I98" s="87">
        <f t="shared" si="56"/>
        <v>2783.2</v>
      </c>
      <c r="J98" s="87">
        <f t="shared" si="56"/>
        <v>2863.2</v>
      </c>
      <c r="K98" s="87">
        <f t="shared" si="56"/>
        <v>2942.4</v>
      </c>
      <c r="L98" s="87">
        <f t="shared" si="56"/>
        <v>3022.4</v>
      </c>
      <c r="M98" s="87">
        <f t="shared" si="56"/>
        <v>3101.6000000000004</v>
      </c>
    </row>
    <row r="99" spans="1:13" x14ac:dyDescent="0.2">
      <c r="A99" s="12"/>
      <c r="B99" s="12"/>
      <c r="C99" s="28" t="s">
        <v>20</v>
      </c>
      <c r="D99" s="29">
        <f>ROUND(D97/2087,2)</f>
        <v>29.82</v>
      </c>
      <c r="E99" s="29">
        <f t="shared" ref="E99:M99" si="57">ROUND(E97/2087,2)</f>
        <v>30.82</v>
      </c>
      <c r="F99" s="29">
        <f t="shared" si="57"/>
        <v>31.81</v>
      </c>
      <c r="G99" s="29">
        <f t="shared" si="57"/>
        <v>32.799999999999997</v>
      </c>
      <c r="H99" s="29">
        <f t="shared" si="57"/>
        <v>33.799999999999997</v>
      </c>
      <c r="I99" s="29">
        <f t="shared" si="57"/>
        <v>34.79</v>
      </c>
      <c r="J99" s="29">
        <f t="shared" si="57"/>
        <v>35.79</v>
      </c>
      <c r="K99" s="29">
        <f t="shared" si="57"/>
        <v>36.78</v>
      </c>
      <c r="L99" s="29">
        <f t="shared" si="57"/>
        <v>37.78</v>
      </c>
      <c r="M99" s="29">
        <f t="shared" si="57"/>
        <v>38.770000000000003</v>
      </c>
    </row>
    <row r="100" spans="1:13" x14ac:dyDescent="0.2">
      <c r="A100" s="12"/>
      <c r="B100" s="12">
        <v>26</v>
      </c>
      <c r="C100" s="15" t="s">
        <v>41</v>
      </c>
      <c r="D100" s="29">
        <f t="shared" ref="D100:M100" si="58">D101*26</f>
        <v>587.07999999999993</v>
      </c>
      <c r="E100" s="29">
        <f t="shared" si="58"/>
        <v>606.57999999999993</v>
      </c>
      <c r="F100" s="29">
        <f t="shared" si="58"/>
        <v>626.34</v>
      </c>
      <c r="G100" s="29">
        <f t="shared" si="58"/>
        <v>645.84</v>
      </c>
      <c r="H100" s="29">
        <f t="shared" si="58"/>
        <v>665.34</v>
      </c>
      <c r="I100" s="29">
        <f t="shared" si="58"/>
        <v>685.1</v>
      </c>
      <c r="J100" s="29">
        <f t="shared" si="58"/>
        <v>704.6</v>
      </c>
      <c r="K100" s="29">
        <f t="shared" si="58"/>
        <v>724.1</v>
      </c>
      <c r="L100" s="29">
        <f t="shared" si="58"/>
        <v>743.86</v>
      </c>
      <c r="M100" s="29">
        <f t="shared" si="58"/>
        <v>763.36</v>
      </c>
    </row>
    <row r="101" spans="1:13" x14ac:dyDescent="0.2">
      <c r="A101" s="12"/>
      <c r="B101" s="12"/>
      <c r="C101" s="15" t="s">
        <v>13</v>
      </c>
      <c r="D101" s="29">
        <f>ROUND(D97/2756,2)</f>
        <v>22.58</v>
      </c>
      <c r="E101" s="29">
        <f t="shared" ref="E101:M101" si="59">ROUND(E97/2756,2)</f>
        <v>23.33</v>
      </c>
      <c r="F101" s="29">
        <f t="shared" si="59"/>
        <v>24.09</v>
      </c>
      <c r="G101" s="29">
        <f t="shared" si="59"/>
        <v>24.84</v>
      </c>
      <c r="H101" s="29">
        <f t="shared" si="59"/>
        <v>25.59</v>
      </c>
      <c r="I101" s="29">
        <f t="shared" si="59"/>
        <v>26.35</v>
      </c>
      <c r="J101" s="29">
        <f t="shared" si="59"/>
        <v>27.1</v>
      </c>
      <c r="K101" s="29">
        <f t="shared" si="59"/>
        <v>27.85</v>
      </c>
      <c r="L101" s="29">
        <f t="shared" si="59"/>
        <v>28.61</v>
      </c>
      <c r="M101" s="29">
        <f t="shared" si="59"/>
        <v>29.36</v>
      </c>
    </row>
    <row r="102" spans="1:13" x14ac:dyDescent="0.2">
      <c r="A102" s="12" t="s">
        <v>16</v>
      </c>
      <c r="B102" s="18">
        <f>($G$3-53)*2</f>
        <v>14</v>
      </c>
      <c r="C102" s="15" t="s">
        <v>42</v>
      </c>
      <c r="D102" s="29">
        <f t="shared" ref="D102:M102" si="60">D103*$B$12</f>
        <v>474.17999999999995</v>
      </c>
      <c r="E102" s="29">
        <f t="shared" si="60"/>
        <v>490</v>
      </c>
      <c r="F102" s="29">
        <f t="shared" si="60"/>
        <v>505.96000000000004</v>
      </c>
      <c r="G102" s="29">
        <f t="shared" si="60"/>
        <v>521.64</v>
      </c>
      <c r="H102" s="29">
        <f t="shared" si="60"/>
        <v>537.46</v>
      </c>
      <c r="I102" s="29">
        <f t="shared" si="60"/>
        <v>553.42000000000007</v>
      </c>
      <c r="J102" s="29">
        <f t="shared" si="60"/>
        <v>569.1</v>
      </c>
      <c r="K102" s="29">
        <f t="shared" si="60"/>
        <v>569.94000000000005</v>
      </c>
      <c r="L102" s="29">
        <f t="shared" si="60"/>
        <v>569.94000000000005</v>
      </c>
      <c r="M102" s="29">
        <f t="shared" si="60"/>
        <v>569.94000000000005</v>
      </c>
    </row>
    <row r="103" spans="1:13" x14ac:dyDescent="0.2">
      <c r="A103" s="12"/>
      <c r="B103" s="12"/>
      <c r="C103" s="15" t="s">
        <v>14</v>
      </c>
      <c r="D103" s="16">
        <f>IF(ROUND(D101*1.5,2)&lt;$G$149,ROUND(D101*1.5,2),IF($G$149&lt;D101,D101,$G$149))</f>
        <v>33.869999999999997</v>
      </c>
      <c r="E103" s="16">
        <f t="shared" ref="E103:M103" si="61">IF(ROUND(E101*1.5,2)&lt;$G$149,ROUND(E101*1.5,2),IF($G$149&lt;E101,E101,$G$149))</f>
        <v>35</v>
      </c>
      <c r="F103" s="16">
        <f t="shared" si="61"/>
        <v>36.14</v>
      </c>
      <c r="G103" s="16">
        <f t="shared" si="61"/>
        <v>37.26</v>
      </c>
      <c r="H103" s="16">
        <f t="shared" si="61"/>
        <v>38.39</v>
      </c>
      <c r="I103" s="16">
        <f t="shared" si="61"/>
        <v>39.53</v>
      </c>
      <c r="J103" s="16">
        <f t="shared" si="61"/>
        <v>40.65</v>
      </c>
      <c r="K103" s="16">
        <f t="shared" si="61"/>
        <v>40.71</v>
      </c>
      <c r="L103" s="16">
        <f t="shared" si="61"/>
        <v>40.71</v>
      </c>
      <c r="M103" s="16">
        <f t="shared" si="61"/>
        <v>40.71</v>
      </c>
    </row>
    <row r="104" spans="1:13" x14ac:dyDescent="0.2">
      <c r="A104" s="51"/>
      <c r="B104" s="51"/>
      <c r="C104" s="28" t="s">
        <v>46</v>
      </c>
      <c r="D104" s="16">
        <f>(ROUND(D99*'Start Page'!$F$48,2)*80)+(ROUND(D101*'Start Page'!$F$48,2)*($B$15-80))</f>
        <v>0</v>
      </c>
      <c r="E104" s="16">
        <f>(ROUND(E99*'Start Page'!$F$48,2)*80)+(ROUND(E101*'Start Page'!$F$48,2)*($B$15-80))</f>
        <v>0</v>
      </c>
      <c r="F104" s="16">
        <f>(ROUND(F99*'Start Page'!$F$48,2)*80)+(ROUND(F101*'Start Page'!$F$48,2)*($B$15-80))</f>
        <v>0</v>
      </c>
      <c r="G104" s="16">
        <f>(ROUND(G99*'Start Page'!$F$48,2)*80)+(ROUND(G101*'Start Page'!$F$48,2)*($B$15-80))</f>
        <v>0</v>
      </c>
      <c r="H104" s="16">
        <f>(ROUND(H99*'Start Page'!$F$48,2)*80)+(ROUND(H101*'Start Page'!$F$48,2)*($B$15-80))</f>
        <v>0</v>
      </c>
      <c r="I104" s="16">
        <f>(ROUND(I99*'Start Page'!$F$48,2)*80)+(ROUND(I101*'Start Page'!$F$48,2)*($B$15-80))</f>
        <v>0</v>
      </c>
      <c r="J104" s="16">
        <f>(ROUND(J99*'Start Page'!$F$48,2)*80)+(ROUND(J101*'Start Page'!$F$48,2)*($B$15-80))</f>
        <v>0</v>
      </c>
      <c r="K104" s="16">
        <f>(ROUND(K99*'Start Page'!$F$48,2)*80)+(ROUND(K101*'Start Page'!$F$48,2)*($B$15-80))</f>
        <v>0</v>
      </c>
      <c r="L104" s="16">
        <f>(ROUND(L99*'Start Page'!$F$48,2)*80)+(ROUND(L101*'Start Page'!$F$48,2)*($B$15-80))</f>
        <v>0</v>
      </c>
      <c r="M104" s="16">
        <f>(ROUND(M99*'Start Page'!$F$48,2)*80)+(ROUND(M101*'Start Page'!$F$48,2)*($B$15-80))</f>
        <v>0</v>
      </c>
    </row>
    <row r="105" spans="1:13" x14ac:dyDescent="0.2">
      <c r="A105" s="12"/>
      <c r="B105" s="12">
        <f>B98+B100+B102</f>
        <v>120</v>
      </c>
      <c r="C105" s="19" t="s">
        <v>17</v>
      </c>
      <c r="D105" s="30">
        <f t="shared" ref="D105:M105" si="62">D98+D100+D102+D104</f>
        <v>3446.8599999999997</v>
      </c>
      <c r="E105" s="30">
        <f t="shared" si="62"/>
        <v>3562.18</v>
      </c>
      <c r="F105" s="30">
        <f t="shared" si="62"/>
        <v>3677.1</v>
      </c>
      <c r="G105" s="30">
        <f t="shared" si="62"/>
        <v>3791.48</v>
      </c>
      <c r="H105" s="30">
        <f t="shared" si="62"/>
        <v>3906.8</v>
      </c>
      <c r="I105" s="30">
        <f t="shared" si="62"/>
        <v>4021.72</v>
      </c>
      <c r="J105" s="30">
        <f t="shared" si="62"/>
        <v>4136.8999999999996</v>
      </c>
      <c r="K105" s="30">
        <f t="shared" si="62"/>
        <v>4236.4400000000005</v>
      </c>
      <c r="L105" s="30">
        <f t="shared" si="62"/>
        <v>4336.2000000000007</v>
      </c>
      <c r="M105" s="30">
        <f t="shared" si="62"/>
        <v>4434.9000000000005</v>
      </c>
    </row>
    <row r="106" spans="1:13" x14ac:dyDescent="0.2">
      <c r="A106" s="12"/>
      <c r="B106" s="12"/>
      <c r="C106" s="19" t="s">
        <v>33</v>
      </c>
      <c r="D106" s="30">
        <f>D105*'Start Page'!$C$65</f>
        <v>89618.359999999986</v>
      </c>
      <c r="E106" s="30">
        <f>E105*'Start Page'!$C$65</f>
        <v>92616.68</v>
      </c>
      <c r="F106" s="30">
        <f>F105*'Start Page'!$C$65</f>
        <v>95604.599999999991</v>
      </c>
      <c r="G106" s="30">
        <f>G105*'Start Page'!$C$65</f>
        <v>98578.48</v>
      </c>
      <c r="H106" s="30">
        <f>H105*'Start Page'!$C$65</f>
        <v>101576.8</v>
      </c>
      <c r="I106" s="30">
        <f>I105*'Start Page'!$C$65</f>
        <v>104564.72</v>
      </c>
      <c r="J106" s="30">
        <f>J105*'Start Page'!$C$65</f>
        <v>107559.4</v>
      </c>
      <c r="K106" s="30">
        <f>K105*'Start Page'!$C$65</f>
        <v>110147.44000000002</v>
      </c>
      <c r="L106" s="30">
        <f>L105*'Start Page'!$C$65</f>
        <v>112741.20000000001</v>
      </c>
      <c r="M106" s="30">
        <f>M105*'Start Page'!$C$65</f>
        <v>115307.40000000001</v>
      </c>
    </row>
    <row r="107" spans="1:13" s="24" customFormat="1" x14ac:dyDescent="0.2">
      <c r="A107" s="21"/>
      <c r="B107" s="21"/>
      <c r="C107" s="22" t="s">
        <v>71</v>
      </c>
      <c r="D107" s="31">
        <f>((D99*80)+(D101*($B$15-80)))*'Start Page'!$C$65</f>
        <v>85508.799999999988</v>
      </c>
      <c r="E107" s="31">
        <f>((E99*80)+(E101*($B$15-80)))*'Start Page'!$C$65</f>
        <v>88368.799999999988</v>
      </c>
      <c r="F107" s="31">
        <f>((F99*80)+(F101*($B$15-80)))*'Start Page'!$C$65</f>
        <v>91218.4</v>
      </c>
      <c r="G107" s="31">
        <f>((G99*80)+(G101*($B$15-80)))*'Start Page'!$C$65</f>
        <v>94057.599999999991</v>
      </c>
      <c r="H107" s="31">
        <f>((H99*80)+(H101*($B$15-80)))*'Start Page'!$C$65</f>
        <v>96917.599999999991</v>
      </c>
      <c r="I107" s="31">
        <f>((I99*80)+(I101*($B$15-80)))*'Start Page'!$C$65</f>
        <v>99767.2</v>
      </c>
      <c r="J107" s="31">
        <f>((J99*80)+(J101*($B$15-80)))*'Start Page'!$C$65</f>
        <v>102627.2</v>
      </c>
      <c r="K107" s="31">
        <f>((K99*80)+(K101*($B$15-80)))*'Start Page'!$C$65</f>
        <v>105466.40000000001</v>
      </c>
      <c r="L107" s="31">
        <f>((L99*80)+(L101*($B$15-80)))*'Start Page'!$C$65</f>
        <v>108336.8</v>
      </c>
      <c r="M107" s="89">
        <f>((M99*80)+(M101*($B$15-80)))*'Start Page'!$C$65</f>
        <v>111176</v>
      </c>
    </row>
    <row r="108" spans="1:13" x14ac:dyDescent="0.2">
      <c r="A108" s="25"/>
      <c r="B108" s="25"/>
      <c r="C108" s="13" t="s">
        <v>30</v>
      </c>
      <c r="D108" s="87">
        <f>'GS Pay Scale'!B18</f>
        <v>74596</v>
      </c>
      <c r="E108" s="87">
        <f>'GS Pay Scale'!C18</f>
        <v>77082</v>
      </c>
      <c r="F108" s="87">
        <f>'GS Pay Scale'!D18</f>
        <v>79569</v>
      </c>
      <c r="G108" s="87">
        <f>'GS Pay Scale'!E18</f>
        <v>82056</v>
      </c>
      <c r="H108" s="87">
        <f>'GS Pay Scale'!F18</f>
        <v>84543</v>
      </c>
      <c r="I108" s="87">
        <f>'GS Pay Scale'!G18</f>
        <v>87030</v>
      </c>
      <c r="J108" s="87">
        <f>'GS Pay Scale'!H18</f>
        <v>89517</v>
      </c>
      <c r="K108" s="87">
        <f>'GS Pay Scale'!I18</f>
        <v>92004</v>
      </c>
      <c r="L108" s="87">
        <f>'GS Pay Scale'!J18</f>
        <v>94491</v>
      </c>
      <c r="M108" s="87">
        <f>'GS Pay Scale'!K18</f>
        <v>96978</v>
      </c>
    </row>
    <row r="109" spans="1:13" x14ac:dyDescent="0.2">
      <c r="A109" s="12"/>
      <c r="B109" s="12">
        <v>80</v>
      </c>
      <c r="C109" s="28" t="s">
        <v>44</v>
      </c>
      <c r="D109" s="87">
        <f t="shared" ref="D109:M109" si="63">D110*80</f>
        <v>2859.2000000000003</v>
      </c>
      <c r="E109" s="87">
        <f t="shared" si="63"/>
        <v>2954.4</v>
      </c>
      <c r="F109" s="87">
        <f t="shared" si="63"/>
        <v>3050.4</v>
      </c>
      <c r="G109" s="87">
        <f t="shared" si="63"/>
        <v>3145.6</v>
      </c>
      <c r="H109" s="87">
        <f t="shared" si="63"/>
        <v>3240.7999999999997</v>
      </c>
      <c r="I109" s="87">
        <f t="shared" si="63"/>
        <v>3336</v>
      </c>
      <c r="J109" s="87">
        <f t="shared" si="63"/>
        <v>3431.2</v>
      </c>
      <c r="K109" s="87">
        <f t="shared" si="63"/>
        <v>3526.3999999999996</v>
      </c>
      <c r="L109" s="87">
        <f t="shared" si="63"/>
        <v>3622.4</v>
      </c>
      <c r="M109" s="87">
        <f t="shared" si="63"/>
        <v>3717.6</v>
      </c>
    </row>
    <row r="110" spans="1:13" x14ac:dyDescent="0.2">
      <c r="A110" s="12"/>
      <c r="B110" s="12"/>
      <c r="C110" s="28" t="s">
        <v>20</v>
      </c>
      <c r="D110" s="29">
        <f t="shared" ref="D110:M110" si="64">ROUND(D108/2087,2)</f>
        <v>35.74</v>
      </c>
      <c r="E110" s="29">
        <f t="shared" si="64"/>
        <v>36.93</v>
      </c>
      <c r="F110" s="29">
        <f t="shared" si="64"/>
        <v>38.130000000000003</v>
      </c>
      <c r="G110" s="29">
        <f t="shared" si="64"/>
        <v>39.32</v>
      </c>
      <c r="H110" s="29">
        <f t="shared" si="64"/>
        <v>40.51</v>
      </c>
      <c r="I110" s="29">
        <f t="shared" si="64"/>
        <v>41.7</v>
      </c>
      <c r="J110" s="29">
        <f t="shared" si="64"/>
        <v>42.89</v>
      </c>
      <c r="K110" s="29">
        <f t="shared" si="64"/>
        <v>44.08</v>
      </c>
      <c r="L110" s="29">
        <f t="shared" si="64"/>
        <v>45.28</v>
      </c>
      <c r="M110" s="29">
        <f t="shared" si="64"/>
        <v>46.47</v>
      </c>
    </row>
    <row r="111" spans="1:13" x14ac:dyDescent="0.2">
      <c r="A111" s="12"/>
      <c r="B111" s="12">
        <v>26</v>
      </c>
      <c r="C111" s="15" t="s">
        <v>41</v>
      </c>
      <c r="D111" s="29">
        <f t="shared" ref="D111:M111" si="65">D112*26</f>
        <v>703.82</v>
      </c>
      <c r="E111" s="29">
        <f t="shared" si="65"/>
        <v>727.22</v>
      </c>
      <c r="F111" s="29">
        <f t="shared" si="65"/>
        <v>750.62</v>
      </c>
      <c r="G111" s="29">
        <f t="shared" si="65"/>
        <v>774.02</v>
      </c>
      <c r="H111" s="29">
        <f t="shared" si="65"/>
        <v>797.68</v>
      </c>
      <c r="I111" s="29">
        <f t="shared" si="65"/>
        <v>821.07999999999993</v>
      </c>
      <c r="J111" s="29">
        <f t="shared" si="65"/>
        <v>844.4799999999999</v>
      </c>
      <c r="K111" s="29">
        <f t="shared" si="65"/>
        <v>867.88000000000011</v>
      </c>
      <c r="L111" s="29">
        <f t="shared" si="65"/>
        <v>891.54</v>
      </c>
      <c r="M111" s="29">
        <f t="shared" si="65"/>
        <v>914.93999999999994</v>
      </c>
    </row>
    <row r="112" spans="1:13" x14ac:dyDescent="0.2">
      <c r="A112" s="12"/>
      <c r="B112" s="12"/>
      <c r="C112" s="15" t="s">
        <v>13</v>
      </c>
      <c r="D112" s="29">
        <f t="shared" ref="D112:M112" si="66">ROUND(D108/2756,2)</f>
        <v>27.07</v>
      </c>
      <c r="E112" s="29">
        <f t="shared" si="66"/>
        <v>27.97</v>
      </c>
      <c r="F112" s="29">
        <f t="shared" si="66"/>
        <v>28.87</v>
      </c>
      <c r="G112" s="29">
        <f t="shared" si="66"/>
        <v>29.77</v>
      </c>
      <c r="H112" s="29">
        <f t="shared" si="66"/>
        <v>30.68</v>
      </c>
      <c r="I112" s="29">
        <f t="shared" si="66"/>
        <v>31.58</v>
      </c>
      <c r="J112" s="29">
        <f t="shared" si="66"/>
        <v>32.479999999999997</v>
      </c>
      <c r="K112" s="29">
        <f t="shared" si="66"/>
        <v>33.380000000000003</v>
      </c>
      <c r="L112" s="29">
        <f t="shared" si="66"/>
        <v>34.29</v>
      </c>
      <c r="M112" s="29">
        <f t="shared" si="66"/>
        <v>35.19</v>
      </c>
    </row>
    <row r="113" spans="1:13" x14ac:dyDescent="0.2">
      <c r="A113" s="12" t="s">
        <v>26</v>
      </c>
      <c r="B113" s="18">
        <f>($G$3-53)*2</f>
        <v>14</v>
      </c>
      <c r="C113" s="15" t="s">
        <v>42</v>
      </c>
      <c r="D113" s="29">
        <f t="shared" ref="D113:M113" si="67">D114*$B$12</f>
        <v>568.54</v>
      </c>
      <c r="E113" s="29">
        <f t="shared" si="67"/>
        <v>569.94000000000005</v>
      </c>
      <c r="F113" s="29">
        <f t="shared" si="67"/>
        <v>569.94000000000005</v>
      </c>
      <c r="G113" s="29">
        <f t="shared" si="67"/>
        <v>569.94000000000005</v>
      </c>
      <c r="H113" s="29">
        <f t="shared" si="67"/>
        <v>569.94000000000005</v>
      </c>
      <c r="I113" s="29">
        <f t="shared" si="67"/>
        <v>569.94000000000005</v>
      </c>
      <c r="J113" s="29">
        <f t="shared" si="67"/>
        <v>569.94000000000005</v>
      </c>
      <c r="K113" s="29">
        <f t="shared" si="67"/>
        <v>569.94000000000005</v>
      </c>
      <c r="L113" s="29">
        <f t="shared" si="67"/>
        <v>569.94000000000005</v>
      </c>
      <c r="M113" s="29">
        <f t="shared" si="67"/>
        <v>569.94000000000005</v>
      </c>
    </row>
    <row r="114" spans="1:13" x14ac:dyDescent="0.2">
      <c r="A114" s="12"/>
      <c r="B114" s="12"/>
      <c r="C114" s="15" t="s">
        <v>14</v>
      </c>
      <c r="D114" s="16">
        <f t="shared" ref="D114:M114" si="68">IF(ROUND(D112*1.5,2)&lt;$G$149,ROUND(D112*1.5,2),IF($G$149&lt;D112,D112,$G$149))</f>
        <v>40.61</v>
      </c>
      <c r="E114" s="16">
        <f t="shared" si="68"/>
        <v>40.71</v>
      </c>
      <c r="F114" s="16">
        <f t="shared" si="68"/>
        <v>40.71</v>
      </c>
      <c r="G114" s="16">
        <f t="shared" si="68"/>
        <v>40.71</v>
      </c>
      <c r="H114" s="16">
        <f t="shared" si="68"/>
        <v>40.71</v>
      </c>
      <c r="I114" s="16">
        <f t="shared" si="68"/>
        <v>40.71</v>
      </c>
      <c r="J114" s="16">
        <f t="shared" si="68"/>
        <v>40.71</v>
      </c>
      <c r="K114" s="16">
        <f t="shared" si="68"/>
        <v>40.71</v>
      </c>
      <c r="L114" s="16">
        <f t="shared" si="68"/>
        <v>40.71</v>
      </c>
      <c r="M114" s="16">
        <f t="shared" si="68"/>
        <v>40.71</v>
      </c>
    </row>
    <row r="115" spans="1:13" x14ac:dyDescent="0.2">
      <c r="A115" s="51"/>
      <c r="B115" s="51"/>
      <c r="C115" s="28" t="s">
        <v>46</v>
      </c>
      <c r="D115" s="16">
        <f>(ROUND(D110*'Start Page'!$F$48,2)*80)+(ROUND(D112*'Start Page'!$F$48,2)*($B$15-80))</f>
        <v>0</v>
      </c>
      <c r="E115" s="16">
        <f>(ROUND(E110*'Start Page'!$F$48,2)*80)+(ROUND(E112*'Start Page'!$F$48,2)*($B$15-80))</f>
        <v>0</v>
      </c>
      <c r="F115" s="16">
        <f>(ROUND(F110*'Start Page'!$F$48,2)*80)+(ROUND(F112*'Start Page'!$F$48,2)*($B$15-80))</f>
        <v>0</v>
      </c>
      <c r="G115" s="16">
        <f>(ROUND(G110*'Start Page'!$F$48,2)*80)+(ROUND(G112*'Start Page'!$F$48,2)*($B$15-80))</f>
        <v>0</v>
      </c>
      <c r="H115" s="16">
        <f>(ROUND(H110*'Start Page'!$F$48,2)*80)+(ROUND(H112*'Start Page'!$F$48,2)*($B$15-80))</f>
        <v>0</v>
      </c>
      <c r="I115" s="16">
        <f>(ROUND(I110*'Start Page'!$F$48,2)*80)+(ROUND(I112*'Start Page'!$F$48,2)*($B$15-80))</f>
        <v>0</v>
      </c>
      <c r="J115" s="16">
        <f>(ROUND(J110*'Start Page'!$F$48,2)*80)+(ROUND(J112*'Start Page'!$F$48,2)*($B$15-80))</f>
        <v>0</v>
      </c>
      <c r="K115" s="16">
        <f>(ROUND(K110*'Start Page'!$F$48,2)*80)+(ROUND(K112*'Start Page'!$F$48,2)*($B$15-80))</f>
        <v>0</v>
      </c>
      <c r="L115" s="16">
        <f>(ROUND(L110*'Start Page'!$F$48,2)*80)+(ROUND(L112*'Start Page'!$F$48,2)*($B$15-80))</f>
        <v>0</v>
      </c>
      <c r="M115" s="16">
        <f>(ROUND(M110*'Start Page'!$F$48,2)*80)+(ROUND(M112*'Start Page'!$F$48,2)*($B$15-80))</f>
        <v>0</v>
      </c>
    </row>
    <row r="116" spans="1:13" x14ac:dyDescent="0.2">
      <c r="A116" s="12"/>
      <c r="B116" s="12">
        <f>B109+B111+B113</f>
        <v>120</v>
      </c>
      <c r="C116" s="19" t="s">
        <v>17</v>
      </c>
      <c r="D116" s="30">
        <f t="shared" ref="D116:M116" si="69">D109+D111+D113+D115</f>
        <v>4131.5600000000004</v>
      </c>
      <c r="E116" s="30">
        <f t="shared" si="69"/>
        <v>4251.5599999999995</v>
      </c>
      <c r="F116" s="30">
        <f t="shared" si="69"/>
        <v>4370.96</v>
      </c>
      <c r="G116" s="30">
        <f t="shared" si="69"/>
        <v>4489.5599999999995</v>
      </c>
      <c r="H116" s="30">
        <f t="shared" si="69"/>
        <v>4608.42</v>
      </c>
      <c r="I116" s="30">
        <f t="shared" si="69"/>
        <v>4727.0200000000004</v>
      </c>
      <c r="J116" s="30">
        <f t="shared" si="69"/>
        <v>4845.619999999999</v>
      </c>
      <c r="K116" s="30">
        <f t="shared" si="69"/>
        <v>4964.2199999999993</v>
      </c>
      <c r="L116" s="30">
        <f t="shared" si="69"/>
        <v>5083.880000000001</v>
      </c>
      <c r="M116" s="30">
        <f t="shared" si="69"/>
        <v>5202.4799999999996</v>
      </c>
    </row>
    <row r="117" spans="1:13" x14ac:dyDescent="0.2">
      <c r="A117" s="12"/>
      <c r="B117" s="12"/>
      <c r="C117" s="19" t="s">
        <v>33</v>
      </c>
      <c r="D117" s="30">
        <f>D116*'Start Page'!$C$65</f>
        <v>107420.56000000001</v>
      </c>
      <c r="E117" s="30">
        <f>E116*'Start Page'!$C$65</f>
        <v>110540.55999999998</v>
      </c>
      <c r="F117" s="30">
        <f>F116*'Start Page'!$C$65</f>
        <v>113644.96</v>
      </c>
      <c r="G117" s="30">
        <f>G116*'Start Page'!$C$65</f>
        <v>116728.55999999998</v>
      </c>
      <c r="H117" s="30">
        <f>H116*'Start Page'!$C$65</f>
        <v>119818.92</v>
      </c>
      <c r="I117" s="30">
        <f>I116*'Start Page'!$C$65</f>
        <v>122902.52000000002</v>
      </c>
      <c r="J117" s="30">
        <f>J116*'Start Page'!$C$65</f>
        <v>125986.11999999997</v>
      </c>
      <c r="K117" s="30">
        <f>K116*'Start Page'!$C$65</f>
        <v>129069.71999999999</v>
      </c>
      <c r="L117" s="30">
        <f>L116*'Start Page'!$C$65</f>
        <v>132180.88000000003</v>
      </c>
      <c r="M117" s="30">
        <f>M116*'Start Page'!$C$65</f>
        <v>135264.47999999998</v>
      </c>
    </row>
    <row r="118" spans="1:13" s="24" customFormat="1" x14ac:dyDescent="0.2">
      <c r="A118" s="21"/>
      <c r="B118" s="21"/>
      <c r="C118" s="22" t="s">
        <v>71</v>
      </c>
      <c r="D118" s="31">
        <f>((D110*80)+(D112*($B$15-80)))*'Start Page'!$C$65</f>
        <v>102492</v>
      </c>
      <c r="E118" s="31">
        <f>((E110*80)+(E112*($B$15-80)))*'Start Page'!$C$65</f>
        <v>105903.2</v>
      </c>
      <c r="F118" s="31">
        <f>((F110*80)+(F112*($B$15-80)))*'Start Page'!$C$65</f>
        <v>109335.2</v>
      </c>
      <c r="G118" s="31">
        <f>((G110*80)+(G112*($B$15-80)))*'Start Page'!$C$65</f>
        <v>112746.4</v>
      </c>
      <c r="H118" s="31">
        <f>((H110*80)+(H112*($B$15-80)))*'Start Page'!$C$65</f>
        <v>116168</v>
      </c>
      <c r="I118" s="31">
        <f>((I110*80)+(I112*($B$15-80)))*'Start Page'!$C$65</f>
        <v>119579.2</v>
      </c>
      <c r="J118" s="31">
        <f>((J110*80)+(J112*($B$15-80)))*'Start Page'!$C$65</f>
        <v>122990.39999999999</v>
      </c>
      <c r="K118" s="31">
        <f>((K110*80)+(K112*($B$15-80)))*'Start Page'!$C$65</f>
        <v>126401.59999999999</v>
      </c>
      <c r="L118" s="31">
        <f>((L110*80)+(L112*($B$15-80)))*'Start Page'!$C$65</f>
        <v>129844</v>
      </c>
      <c r="M118" s="89">
        <f>((M110*80)+(M112*($B$15-80)))*'Start Page'!$C$65</f>
        <v>133255.19999999998</v>
      </c>
    </row>
    <row r="119" spans="1:13" s="24" customFormat="1" x14ac:dyDescent="0.2">
      <c r="A119" s="25"/>
      <c r="B119" s="25"/>
      <c r="C119" s="13" t="s">
        <v>30</v>
      </c>
      <c r="D119" s="87">
        <f>'GS Pay Scale'!B19</f>
        <v>88704</v>
      </c>
      <c r="E119" s="87">
        <f>'GS Pay Scale'!C19</f>
        <v>91660</v>
      </c>
      <c r="F119" s="87">
        <f>'GS Pay Scale'!D19</f>
        <v>94617</v>
      </c>
      <c r="G119" s="87">
        <f>'GS Pay Scale'!E19</f>
        <v>97573</v>
      </c>
      <c r="H119" s="87">
        <f>'GS Pay Scale'!F19</f>
        <v>100530</v>
      </c>
      <c r="I119" s="87">
        <f>'GS Pay Scale'!G19</f>
        <v>103486</v>
      </c>
      <c r="J119" s="87">
        <f>'GS Pay Scale'!H19</f>
        <v>106443</v>
      </c>
      <c r="K119" s="87">
        <f>'GS Pay Scale'!I19</f>
        <v>109400</v>
      </c>
      <c r="L119" s="87">
        <f>'GS Pay Scale'!J19</f>
        <v>112356</v>
      </c>
      <c r="M119" s="87">
        <f>'GS Pay Scale'!K19</f>
        <v>115313</v>
      </c>
    </row>
    <row r="120" spans="1:13" s="24" customFormat="1" x14ac:dyDescent="0.2">
      <c r="A120" s="12"/>
      <c r="B120" s="12">
        <v>80</v>
      </c>
      <c r="C120" s="28" t="s">
        <v>44</v>
      </c>
      <c r="D120" s="87">
        <f t="shared" ref="D120:M120" si="70">D121*80</f>
        <v>3400</v>
      </c>
      <c r="E120" s="87">
        <f t="shared" si="70"/>
        <v>3513.6000000000004</v>
      </c>
      <c r="F120" s="87">
        <f t="shared" si="70"/>
        <v>3627.2000000000003</v>
      </c>
      <c r="G120" s="87">
        <f t="shared" si="70"/>
        <v>3740</v>
      </c>
      <c r="H120" s="87">
        <f t="shared" si="70"/>
        <v>3853.6000000000004</v>
      </c>
      <c r="I120" s="87">
        <f t="shared" si="70"/>
        <v>3967.2000000000003</v>
      </c>
      <c r="J120" s="87">
        <f t="shared" si="70"/>
        <v>4080</v>
      </c>
      <c r="K120" s="87">
        <f t="shared" si="70"/>
        <v>4193.6000000000004</v>
      </c>
      <c r="L120" s="87">
        <f t="shared" si="70"/>
        <v>4307.2000000000007</v>
      </c>
      <c r="M120" s="87">
        <f t="shared" si="70"/>
        <v>4420</v>
      </c>
    </row>
    <row r="121" spans="1:13" s="24" customFormat="1" x14ac:dyDescent="0.2">
      <c r="A121" s="12"/>
      <c r="B121" s="12"/>
      <c r="C121" s="28" t="s">
        <v>20</v>
      </c>
      <c r="D121" s="29">
        <f t="shared" ref="D121:M121" si="71">ROUND(D119/2087,2)</f>
        <v>42.5</v>
      </c>
      <c r="E121" s="29">
        <f t="shared" si="71"/>
        <v>43.92</v>
      </c>
      <c r="F121" s="29">
        <f t="shared" si="71"/>
        <v>45.34</v>
      </c>
      <c r="G121" s="29">
        <f t="shared" si="71"/>
        <v>46.75</v>
      </c>
      <c r="H121" s="29">
        <f t="shared" si="71"/>
        <v>48.17</v>
      </c>
      <c r="I121" s="29">
        <f t="shared" si="71"/>
        <v>49.59</v>
      </c>
      <c r="J121" s="29">
        <f t="shared" si="71"/>
        <v>51</v>
      </c>
      <c r="K121" s="29">
        <f t="shared" si="71"/>
        <v>52.42</v>
      </c>
      <c r="L121" s="29">
        <f t="shared" si="71"/>
        <v>53.84</v>
      </c>
      <c r="M121" s="29">
        <f t="shared" si="71"/>
        <v>55.25</v>
      </c>
    </row>
    <row r="122" spans="1:13" s="24" customFormat="1" x14ac:dyDescent="0.2">
      <c r="A122" s="12"/>
      <c r="B122" s="12">
        <v>26</v>
      </c>
      <c r="C122" s="15" t="s">
        <v>41</v>
      </c>
      <c r="D122" s="29">
        <f t="shared" ref="D122:M122" si="72">D123*26</f>
        <v>836.93999999999994</v>
      </c>
      <c r="E122" s="29">
        <f t="shared" si="72"/>
        <v>864.76</v>
      </c>
      <c r="F122" s="29">
        <f t="shared" si="72"/>
        <v>892.57999999999993</v>
      </c>
      <c r="G122" s="29">
        <f t="shared" si="72"/>
        <v>920.4</v>
      </c>
      <c r="H122" s="29">
        <f t="shared" si="72"/>
        <v>948.4799999999999</v>
      </c>
      <c r="I122" s="29">
        <f t="shared" si="72"/>
        <v>976.3</v>
      </c>
      <c r="J122" s="29">
        <f t="shared" si="72"/>
        <v>1004.1199999999999</v>
      </c>
      <c r="K122" s="29">
        <f t="shared" si="72"/>
        <v>1032.2</v>
      </c>
      <c r="L122" s="29">
        <f t="shared" si="72"/>
        <v>1060.02</v>
      </c>
      <c r="M122" s="29">
        <f t="shared" si="72"/>
        <v>1087.8400000000001</v>
      </c>
    </row>
    <row r="123" spans="1:13" s="24" customFormat="1" x14ac:dyDescent="0.2">
      <c r="A123" s="12"/>
      <c r="B123" s="12"/>
      <c r="C123" s="15" t="s">
        <v>13</v>
      </c>
      <c r="D123" s="29">
        <f t="shared" ref="D123:M123" si="73">ROUND(D119/2756,2)</f>
        <v>32.19</v>
      </c>
      <c r="E123" s="29">
        <f t="shared" si="73"/>
        <v>33.26</v>
      </c>
      <c r="F123" s="29">
        <f t="shared" si="73"/>
        <v>34.33</v>
      </c>
      <c r="G123" s="29">
        <f t="shared" si="73"/>
        <v>35.4</v>
      </c>
      <c r="H123" s="29">
        <f t="shared" si="73"/>
        <v>36.479999999999997</v>
      </c>
      <c r="I123" s="29">
        <f t="shared" si="73"/>
        <v>37.549999999999997</v>
      </c>
      <c r="J123" s="29">
        <f t="shared" si="73"/>
        <v>38.619999999999997</v>
      </c>
      <c r="K123" s="29">
        <f t="shared" si="73"/>
        <v>39.700000000000003</v>
      </c>
      <c r="L123" s="29">
        <f t="shared" si="73"/>
        <v>40.770000000000003</v>
      </c>
      <c r="M123" s="29">
        <f t="shared" si="73"/>
        <v>41.84</v>
      </c>
    </row>
    <row r="124" spans="1:13" s="24" customFormat="1" x14ac:dyDescent="0.2">
      <c r="A124" s="12" t="s">
        <v>31</v>
      </c>
      <c r="B124" s="18">
        <f>($G$3-53)*2</f>
        <v>14</v>
      </c>
      <c r="C124" s="15" t="s">
        <v>42</v>
      </c>
      <c r="D124" s="29">
        <f t="shared" ref="D124:M124" si="74">D125*$B$12</f>
        <v>569.94000000000005</v>
      </c>
      <c r="E124" s="29">
        <f t="shared" si="74"/>
        <v>569.94000000000005</v>
      </c>
      <c r="F124" s="29">
        <f t="shared" si="74"/>
        <v>569.94000000000005</v>
      </c>
      <c r="G124" s="29">
        <f t="shared" si="74"/>
        <v>569.94000000000005</v>
      </c>
      <c r="H124" s="29">
        <f t="shared" si="74"/>
        <v>569.94000000000005</v>
      </c>
      <c r="I124" s="29">
        <f t="shared" si="74"/>
        <v>569.94000000000005</v>
      </c>
      <c r="J124" s="29">
        <f t="shared" si="74"/>
        <v>569.94000000000005</v>
      </c>
      <c r="K124" s="29">
        <f t="shared" si="74"/>
        <v>569.94000000000005</v>
      </c>
      <c r="L124" s="29">
        <f t="shared" si="74"/>
        <v>570.78000000000009</v>
      </c>
      <c r="M124" s="29">
        <f t="shared" si="74"/>
        <v>585.76</v>
      </c>
    </row>
    <row r="125" spans="1:13" s="24" customFormat="1" x14ac:dyDescent="0.2">
      <c r="A125" s="12"/>
      <c r="B125" s="12"/>
      <c r="C125" s="15" t="s">
        <v>14</v>
      </c>
      <c r="D125" s="16">
        <f t="shared" ref="D125:M125" si="75">IF(ROUND(D123*1.5,2)&lt;$G$149,ROUND(D123*1.5,2),IF($G$149&lt;D123,D123,$G$149))</f>
        <v>40.71</v>
      </c>
      <c r="E125" s="16">
        <f t="shared" si="75"/>
        <v>40.71</v>
      </c>
      <c r="F125" s="16">
        <f t="shared" si="75"/>
        <v>40.71</v>
      </c>
      <c r="G125" s="16">
        <f t="shared" si="75"/>
        <v>40.71</v>
      </c>
      <c r="H125" s="16">
        <f t="shared" si="75"/>
        <v>40.71</v>
      </c>
      <c r="I125" s="16">
        <f t="shared" si="75"/>
        <v>40.71</v>
      </c>
      <c r="J125" s="16">
        <f t="shared" si="75"/>
        <v>40.71</v>
      </c>
      <c r="K125" s="16">
        <f t="shared" si="75"/>
        <v>40.71</v>
      </c>
      <c r="L125" s="16">
        <f t="shared" si="75"/>
        <v>40.770000000000003</v>
      </c>
      <c r="M125" s="16">
        <f t="shared" si="75"/>
        <v>41.84</v>
      </c>
    </row>
    <row r="126" spans="1:13" s="24" customFormat="1" x14ac:dyDescent="0.2">
      <c r="A126" s="51"/>
      <c r="B126" s="51"/>
      <c r="C126" s="28" t="s">
        <v>46</v>
      </c>
      <c r="D126" s="16">
        <f>(ROUND(D121*'Start Page'!$F$48,2)*80)+(ROUND(D123*'Start Page'!$F$48,2)*($B$15-80))</f>
        <v>0</v>
      </c>
      <c r="E126" s="16">
        <f>(ROUND(E121*'Start Page'!$F$48,2)*80)+(ROUND(E123*'Start Page'!$F$48,2)*($B$15-80))</f>
        <v>0</v>
      </c>
      <c r="F126" s="16">
        <f>(ROUND(F121*'Start Page'!$F$48,2)*80)+(ROUND(F123*'Start Page'!$F$48,2)*($B$15-80))</f>
        <v>0</v>
      </c>
      <c r="G126" s="16">
        <f>(ROUND(G121*'Start Page'!$F$48,2)*80)+(ROUND(G123*'Start Page'!$F$48,2)*($B$15-80))</f>
        <v>0</v>
      </c>
      <c r="H126" s="16">
        <f>(ROUND(H121*'Start Page'!$F$48,2)*80)+(ROUND(H123*'Start Page'!$F$48,2)*($B$15-80))</f>
        <v>0</v>
      </c>
      <c r="I126" s="16">
        <f>(ROUND(I121*'Start Page'!$F$48,2)*80)+(ROUND(I123*'Start Page'!$F$48,2)*($B$15-80))</f>
        <v>0</v>
      </c>
      <c r="J126" s="16">
        <f>(ROUND(J121*'Start Page'!$F$48,2)*80)+(ROUND(J123*'Start Page'!$F$48,2)*($B$15-80))</f>
        <v>0</v>
      </c>
      <c r="K126" s="16">
        <f>(ROUND(K121*'Start Page'!$F$48,2)*80)+(ROUND(K123*'Start Page'!$F$48,2)*($B$15-80))</f>
        <v>0</v>
      </c>
      <c r="L126" s="16">
        <f>(ROUND(L121*'Start Page'!$F$48,2)*80)+(ROUND(L123*'Start Page'!$F$48,2)*($B$15-80))</f>
        <v>0</v>
      </c>
      <c r="M126" s="16">
        <f>(ROUND(M121*'Start Page'!$F$48,2)*80)+(ROUND(M123*'Start Page'!$F$48,2)*($B$15-80))</f>
        <v>0</v>
      </c>
    </row>
    <row r="127" spans="1:13" s="24" customFormat="1" x14ac:dyDescent="0.2">
      <c r="A127" s="12"/>
      <c r="B127" s="12">
        <f>B120+B122+B124</f>
        <v>120</v>
      </c>
      <c r="C127" s="19" t="s">
        <v>17</v>
      </c>
      <c r="D127" s="30">
        <f t="shared" ref="D127:M127" si="76">D120+D122+D124+D126</f>
        <v>4806.8799999999992</v>
      </c>
      <c r="E127" s="30">
        <f t="shared" si="76"/>
        <v>4948.3000000000011</v>
      </c>
      <c r="F127" s="30">
        <f t="shared" si="76"/>
        <v>5089.7200000000012</v>
      </c>
      <c r="G127" s="30">
        <f t="shared" si="76"/>
        <v>5230.34</v>
      </c>
      <c r="H127" s="30">
        <f t="shared" si="76"/>
        <v>5372.02</v>
      </c>
      <c r="I127" s="30">
        <f t="shared" si="76"/>
        <v>5513.4400000000005</v>
      </c>
      <c r="J127" s="30">
        <f t="shared" si="76"/>
        <v>5654.0599999999995</v>
      </c>
      <c r="K127" s="30">
        <f t="shared" si="76"/>
        <v>5795.74</v>
      </c>
      <c r="L127" s="30">
        <f t="shared" si="76"/>
        <v>5938.0000000000009</v>
      </c>
      <c r="M127" s="30">
        <f t="shared" si="76"/>
        <v>6093.6</v>
      </c>
    </row>
    <row r="128" spans="1:13" s="24" customFormat="1" x14ac:dyDescent="0.2">
      <c r="A128" s="12"/>
      <c r="B128" s="12"/>
      <c r="C128" s="19" t="s">
        <v>33</v>
      </c>
      <c r="D128" s="30">
        <f>D127*'Start Page'!$C$65</f>
        <v>124978.87999999998</v>
      </c>
      <c r="E128" s="30">
        <f>E127*'Start Page'!$C$65</f>
        <v>128655.80000000003</v>
      </c>
      <c r="F128" s="30">
        <f>F127*'Start Page'!$C$65</f>
        <v>132332.72000000003</v>
      </c>
      <c r="G128" s="30">
        <f>G127*'Start Page'!$C$65</f>
        <v>135988.84</v>
      </c>
      <c r="H128" s="30">
        <f>H127*'Start Page'!$C$65</f>
        <v>139672.52000000002</v>
      </c>
      <c r="I128" s="30">
        <f>I127*'Start Page'!$C$65</f>
        <v>143349.44</v>
      </c>
      <c r="J128" s="30">
        <f>J127*'Start Page'!$C$65</f>
        <v>147005.56</v>
      </c>
      <c r="K128" s="30">
        <f>K127*'Start Page'!$C$65</f>
        <v>150689.24</v>
      </c>
      <c r="L128" s="30">
        <f>L127*'Start Page'!$C$65</f>
        <v>154388.00000000003</v>
      </c>
      <c r="M128" s="30">
        <f>M127*'Start Page'!$C$65</f>
        <v>158433.60000000001</v>
      </c>
    </row>
    <row r="129" spans="1:13" s="24" customFormat="1" x14ac:dyDescent="0.2">
      <c r="A129" s="21"/>
      <c r="B129" s="21"/>
      <c r="C129" s="22" t="s">
        <v>71</v>
      </c>
      <c r="D129" s="31">
        <f>((D121*80)+(D123*($B$15-80)))*'Start Page'!$C$65</f>
        <v>121877.6</v>
      </c>
      <c r="E129" s="31">
        <f>((E121*80)+(E123*($B$15-80)))*'Start Page'!$C$65</f>
        <v>125944</v>
      </c>
      <c r="F129" s="31">
        <f>((F121*80)+(F123*($B$15-80)))*'Start Page'!$C$65</f>
        <v>130010.4</v>
      </c>
      <c r="G129" s="31">
        <f>((G121*80)+(G123*($B$15-80)))*'Start Page'!$C$65</f>
        <v>134056</v>
      </c>
      <c r="H129" s="31">
        <f>((H121*80)+(H123*($B$15-80)))*'Start Page'!$C$65</f>
        <v>138132.80000000002</v>
      </c>
      <c r="I129" s="31">
        <f>((I121*80)+(I123*($B$15-80)))*'Start Page'!$C$65</f>
        <v>142199.20000000001</v>
      </c>
      <c r="J129" s="31">
        <f>((J121*80)+(J123*($B$15-80)))*'Start Page'!$C$65</f>
        <v>146244.80000000002</v>
      </c>
      <c r="K129" s="31">
        <f>((K121*80)+(K123*($B$15-80)))*'Start Page'!$C$65</f>
        <v>150321.60000000001</v>
      </c>
      <c r="L129" s="31">
        <f>((L121*80)+(L123*($B$15-80)))*'Start Page'!$C$65</f>
        <v>154388.00000000003</v>
      </c>
      <c r="M129" s="89">
        <f>((M121*80)+(M123*($B$15-80)))*'Start Page'!$C$65</f>
        <v>158433.60000000001</v>
      </c>
    </row>
    <row r="130" spans="1:13" x14ac:dyDescent="0.2">
      <c r="A130" s="25"/>
      <c r="B130" s="25"/>
      <c r="C130" s="13" t="s">
        <v>30</v>
      </c>
      <c r="D130" s="87">
        <f>'GS Pay Scale'!B20</f>
        <v>104821</v>
      </c>
      <c r="E130" s="87">
        <f>'GS Pay Scale'!C20</f>
        <v>108316</v>
      </c>
      <c r="F130" s="87">
        <f>'GS Pay Scale'!D20</f>
        <v>111810</v>
      </c>
      <c r="G130" s="87">
        <f>'GS Pay Scale'!E20</f>
        <v>115304</v>
      </c>
      <c r="H130" s="87">
        <f>'GS Pay Scale'!F20</f>
        <v>118799</v>
      </c>
      <c r="I130" s="87">
        <f>'GS Pay Scale'!G20</f>
        <v>122293</v>
      </c>
      <c r="J130" s="87">
        <f>'GS Pay Scale'!H20</f>
        <v>125788</v>
      </c>
      <c r="K130" s="87">
        <f>'GS Pay Scale'!I20</f>
        <v>129282</v>
      </c>
      <c r="L130" s="87">
        <f>'GS Pay Scale'!J20</f>
        <v>132776</v>
      </c>
      <c r="M130" s="87">
        <f>'GS Pay Scale'!K20</f>
        <v>136271</v>
      </c>
    </row>
    <row r="131" spans="1:13" x14ac:dyDescent="0.2">
      <c r="A131" s="12"/>
      <c r="B131" s="12">
        <v>80</v>
      </c>
      <c r="C131" s="28" t="s">
        <v>44</v>
      </c>
      <c r="D131" s="87">
        <f t="shared" ref="D131:M131" si="77">D132*80</f>
        <v>4018.3999999999996</v>
      </c>
      <c r="E131" s="87">
        <f t="shared" si="77"/>
        <v>4152</v>
      </c>
      <c r="F131" s="87">
        <f t="shared" si="77"/>
        <v>4285.6000000000004</v>
      </c>
      <c r="G131" s="87">
        <f t="shared" si="77"/>
        <v>4420</v>
      </c>
      <c r="H131" s="87">
        <f t="shared" si="77"/>
        <v>4553.6000000000004</v>
      </c>
      <c r="I131" s="87">
        <f t="shared" si="77"/>
        <v>4688</v>
      </c>
      <c r="J131" s="87">
        <f t="shared" si="77"/>
        <v>4821.6000000000004</v>
      </c>
      <c r="K131" s="87">
        <f t="shared" si="77"/>
        <v>4956</v>
      </c>
      <c r="L131" s="87">
        <f t="shared" si="77"/>
        <v>5089.5999999999995</v>
      </c>
      <c r="M131" s="87">
        <f t="shared" si="77"/>
        <v>5224</v>
      </c>
    </row>
    <row r="132" spans="1:13" x14ac:dyDescent="0.2">
      <c r="A132" s="12"/>
      <c r="B132" s="12"/>
      <c r="C132" s="28" t="s">
        <v>20</v>
      </c>
      <c r="D132" s="29">
        <f t="shared" ref="D132:M132" si="78">ROUND(D130/2087,2)</f>
        <v>50.23</v>
      </c>
      <c r="E132" s="29">
        <f t="shared" si="78"/>
        <v>51.9</v>
      </c>
      <c r="F132" s="29">
        <f t="shared" si="78"/>
        <v>53.57</v>
      </c>
      <c r="G132" s="29">
        <f t="shared" si="78"/>
        <v>55.25</v>
      </c>
      <c r="H132" s="29">
        <f t="shared" si="78"/>
        <v>56.92</v>
      </c>
      <c r="I132" s="29">
        <f t="shared" si="78"/>
        <v>58.6</v>
      </c>
      <c r="J132" s="29">
        <f t="shared" si="78"/>
        <v>60.27</v>
      </c>
      <c r="K132" s="29">
        <f t="shared" si="78"/>
        <v>61.95</v>
      </c>
      <c r="L132" s="29">
        <f t="shared" si="78"/>
        <v>63.62</v>
      </c>
      <c r="M132" s="29">
        <f t="shared" si="78"/>
        <v>65.3</v>
      </c>
    </row>
    <row r="133" spans="1:13" x14ac:dyDescent="0.2">
      <c r="A133" s="12"/>
      <c r="B133" s="12">
        <v>26</v>
      </c>
      <c r="C133" s="15" t="s">
        <v>41</v>
      </c>
      <c r="D133" s="29">
        <f t="shared" ref="D133:M133" si="79">D134*26</f>
        <v>988.78</v>
      </c>
      <c r="E133" s="29">
        <f t="shared" si="79"/>
        <v>1021.8</v>
      </c>
      <c r="F133" s="29">
        <f t="shared" si="79"/>
        <v>1054.82</v>
      </c>
      <c r="G133" s="29">
        <f t="shared" si="79"/>
        <v>1087.8400000000001</v>
      </c>
      <c r="H133" s="29">
        <f t="shared" si="79"/>
        <v>1120.8599999999999</v>
      </c>
      <c r="I133" s="29">
        <f t="shared" si="79"/>
        <v>1153.6199999999999</v>
      </c>
      <c r="J133" s="29">
        <f t="shared" si="79"/>
        <v>1186.6400000000001</v>
      </c>
      <c r="K133" s="29">
        <f t="shared" si="79"/>
        <v>1219.6599999999999</v>
      </c>
      <c r="L133" s="29">
        <f t="shared" si="79"/>
        <v>1252.68</v>
      </c>
      <c r="M133" s="29">
        <f t="shared" si="79"/>
        <v>1285.7</v>
      </c>
    </row>
    <row r="134" spans="1:13" x14ac:dyDescent="0.2">
      <c r="A134" s="12"/>
      <c r="B134" s="12"/>
      <c r="C134" s="15" t="s">
        <v>13</v>
      </c>
      <c r="D134" s="29">
        <f t="shared" ref="D134:M134" si="80">ROUND(D130/2756,2)</f>
        <v>38.03</v>
      </c>
      <c r="E134" s="29">
        <f t="shared" si="80"/>
        <v>39.299999999999997</v>
      </c>
      <c r="F134" s="29">
        <f t="shared" si="80"/>
        <v>40.57</v>
      </c>
      <c r="G134" s="29">
        <f t="shared" si="80"/>
        <v>41.84</v>
      </c>
      <c r="H134" s="29">
        <f t="shared" si="80"/>
        <v>43.11</v>
      </c>
      <c r="I134" s="29">
        <f t="shared" si="80"/>
        <v>44.37</v>
      </c>
      <c r="J134" s="29">
        <f t="shared" si="80"/>
        <v>45.64</v>
      </c>
      <c r="K134" s="29">
        <f t="shared" si="80"/>
        <v>46.91</v>
      </c>
      <c r="L134" s="29">
        <f t="shared" si="80"/>
        <v>48.18</v>
      </c>
      <c r="M134" s="29">
        <f t="shared" si="80"/>
        <v>49.45</v>
      </c>
    </row>
    <row r="135" spans="1:13" x14ac:dyDescent="0.2">
      <c r="A135" s="12" t="s">
        <v>117</v>
      </c>
      <c r="B135" s="18">
        <f>($G$3-53)*2</f>
        <v>14</v>
      </c>
      <c r="C135" s="15" t="s">
        <v>42</v>
      </c>
      <c r="D135" s="29">
        <f t="shared" ref="D135:M135" si="81">D136*$B$12</f>
        <v>569.94000000000005</v>
      </c>
      <c r="E135" s="29">
        <f t="shared" si="81"/>
        <v>569.94000000000005</v>
      </c>
      <c r="F135" s="29">
        <f t="shared" si="81"/>
        <v>569.94000000000005</v>
      </c>
      <c r="G135" s="29">
        <f t="shared" si="81"/>
        <v>585.76</v>
      </c>
      <c r="H135" s="29">
        <f t="shared" si="81"/>
        <v>603.54</v>
      </c>
      <c r="I135" s="29">
        <f t="shared" si="81"/>
        <v>621.17999999999995</v>
      </c>
      <c r="J135" s="29">
        <f t="shared" si="81"/>
        <v>638.96</v>
      </c>
      <c r="K135" s="29">
        <f t="shared" si="81"/>
        <v>656.74</v>
      </c>
      <c r="L135" s="29">
        <f t="shared" si="81"/>
        <v>674.52</v>
      </c>
      <c r="M135" s="29">
        <f t="shared" si="81"/>
        <v>692.30000000000007</v>
      </c>
    </row>
    <row r="136" spans="1:13" x14ac:dyDescent="0.2">
      <c r="A136" s="12"/>
      <c r="B136" s="12"/>
      <c r="C136" s="15" t="s">
        <v>14</v>
      </c>
      <c r="D136" s="16">
        <f t="shared" ref="D136:M136" si="82">IF(ROUND(D134*1.5,2)&lt;$G$149,ROUND(D134*1.5,2),IF($G$149&lt;D134,D134,$G$149))</f>
        <v>40.71</v>
      </c>
      <c r="E136" s="16">
        <f t="shared" si="82"/>
        <v>40.71</v>
      </c>
      <c r="F136" s="16">
        <f t="shared" si="82"/>
        <v>40.71</v>
      </c>
      <c r="G136" s="16">
        <f t="shared" si="82"/>
        <v>41.84</v>
      </c>
      <c r="H136" s="16">
        <f t="shared" si="82"/>
        <v>43.11</v>
      </c>
      <c r="I136" s="16">
        <f t="shared" si="82"/>
        <v>44.37</v>
      </c>
      <c r="J136" s="16">
        <f t="shared" si="82"/>
        <v>45.64</v>
      </c>
      <c r="K136" s="16">
        <f t="shared" si="82"/>
        <v>46.91</v>
      </c>
      <c r="L136" s="16">
        <f t="shared" si="82"/>
        <v>48.18</v>
      </c>
      <c r="M136" s="16">
        <f t="shared" si="82"/>
        <v>49.45</v>
      </c>
    </row>
    <row r="137" spans="1:13" x14ac:dyDescent="0.2">
      <c r="A137" s="51"/>
      <c r="B137" s="51"/>
      <c r="C137" s="28" t="s">
        <v>46</v>
      </c>
      <c r="D137" s="16">
        <f>(ROUND(D132*'Start Page'!$F$48,2)*80)+(ROUND(D134*'Start Page'!$F$48,2)*($B$15-80))</f>
        <v>0</v>
      </c>
      <c r="E137" s="16">
        <f>(ROUND(E132*'Start Page'!$F$48,2)*80)+(ROUND(E134*'Start Page'!$F$48,2)*($B$15-80))</f>
        <v>0</v>
      </c>
      <c r="F137" s="16">
        <f>(ROUND(F132*'Start Page'!$F$48,2)*80)+(ROUND(F134*'Start Page'!$F$48,2)*($B$15-80))</f>
        <v>0</v>
      </c>
      <c r="G137" s="16">
        <f>(ROUND(G132*'Start Page'!$F$48,2)*80)+(ROUND(G134*'Start Page'!$F$48,2)*($B$15-80))</f>
        <v>0</v>
      </c>
      <c r="H137" s="16">
        <f>(ROUND(H132*'Start Page'!$F$48,2)*80)+(ROUND(H134*'Start Page'!$F$48,2)*($B$15-80))</f>
        <v>0</v>
      </c>
      <c r="I137" s="16">
        <f>(ROUND(I132*'Start Page'!$F$48,2)*80)+(ROUND(I134*'Start Page'!$F$48,2)*($B$15-80))</f>
        <v>0</v>
      </c>
      <c r="J137" s="16">
        <f>(ROUND(J132*'Start Page'!$F$48,2)*80)+(ROUND(J134*'Start Page'!$F$48,2)*($B$15-80))</f>
        <v>0</v>
      </c>
      <c r="K137" s="16">
        <f>(ROUND(K132*'Start Page'!$F$48,2)*80)+(ROUND(K134*'Start Page'!$F$48,2)*($B$15-80))</f>
        <v>0</v>
      </c>
      <c r="L137" s="16">
        <f>(ROUND(L132*'Start Page'!$F$48,2)*80)+(ROUND(L134*'Start Page'!$F$48,2)*($B$15-80))</f>
        <v>0</v>
      </c>
      <c r="M137" s="16">
        <f>(ROUND(M132*'Start Page'!$F$48,2)*80)+(ROUND(M134*'Start Page'!$F$48,2)*($B$15-80))</f>
        <v>0</v>
      </c>
    </row>
    <row r="138" spans="1:13" x14ac:dyDescent="0.2">
      <c r="A138" s="12"/>
      <c r="B138" s="12">
        <f>B131+B133+B135</f>
        <v>120</v>
      </c>
      <c r="C138" s="19" t="s">
        <v>17</v>
      </c>
      <c r="D138" s="30">
        <f t="shared" ref="D138:M138" si="83">D131+D133+D135+D137</f>
        <v>5577.119999999999</v>
      </c>
      <c r="E138" s="30">
        <f t="shared" si="83"/>
        <v>5743.74</v>
      </c>
      <c r="F138" s="30">
        <f t="shared" si="83"/>
        <v>5910.3600000000006</v>
      </c>
      <c r="G138" s="30">
        <f t="shared" si="83"/>
        <v>6093.6</v>
      </c>
      <c r="H138" s="30">
        <f t="shared" si="83"/>
        <v>6278</v>
      </c>
      <c r="I138" s="30">
        <f t="shared" si="83"/>
        <v>6462.8</v>
      </c>
      <c r="J138" s="30">
        <f t="shared" si="83"/>
        <v>6647.2000000000007</v>
      </c>
      <c r="K138" s="30">
        <f t="shared" si="83"/>
        <v>6832.4</v>
      </c>
      <c r="L138" s="30">
        <f t="shared" si="83"/>
        <v>7016.7999999999993</v>
      </c>
      <c r="M138" s="30">
        <f t="shared" si="83"/>
        <v>7202</v>
      </c>
    </row>
    <row r="139" spans="1:13" x14ac:dyDescent="0.2">
      <c r="A139" s="12"/>
      <c r="B139" s="12"/>
      <c r="C139" s="19" t="s">
        <v>33</v>
      </c>
      <c r="D139" s="30">
        <f>D138*'Start Page'!$C$65</f>
        <v>145005.11999999997</v>
      </c>
      <c r="E139" s="30">
        <f>E138*'Start Page'!$C$65</f>
        <v>149337.24</v>
      </c>
      <c r="F139" s="30">
        <f>F138*'Start Page'!$C$65</f>
        <v>153669.36000000002</v>
      </c>
      <c r="G139" s="30">
        <f>G138*'Start Page'!$C$65</f>
        <v>158433.60000000001</v>
      </c>
      <c r="H139" s="30">
        <f>H138*'Start Page'!$C$65</f>
        <v>163228</v>
      </c>
      <c r="I139" s="30">
        <f>I138*'Start Page'!$C$65</f>
        <v>168032.80000000002</v>
      </c>
      <c r="J139" s="30">
        <f>J138*'Start Page'!$C$65</f>
        <v>172827.2</v>
      </c>
      <c r="K139" s="30">
        <f>K138*'Start Page'!$C$65</f>
        <v>177642.4</v>
      </c>
      <c r="L139" s="30">
        <f>L138*'Start Page'!$C$65</f>
        <v>182436.8</v>
      </c>
      <c r="M139" s="30">
        <f>M138*'Start Page'!$C$65</f>
        <v>187252</v>
      </c>
    </row>
    <row r="140" spans="1:13" s="24" customFormat="1" x14ac:dyDescent="0.2">
      <c r="A140" s="21"/>
      <c r="B140" s="21"/>
      <c r="C140" s="22" t="s">
        <v>71</v>
      </c>
      <c r="D140" s="31">
        <f>((D132*80)+(D134*($B$15-80)))*'Start Page'!$C$65</f>
        <v>144029.59999999998</v>
      </c>
      <c r="E140" s="31">
        <f>((E132*80)+(E134*($B$15-80)))*'Start Page'!$C$65</f>
        <v>148824</v>
      </c>
      <c r="F140" s="31">
        <f>((F132*80)+(F134*($B$15-80)))*'Start Page'!$C$65</f>
        <v>153618.40000000002</v>
      </c>
      <c r="G140" s="31">
        <f>((G132*80)+(G134*($B$15-80)))*'Start Page'!$C$65</f>
        <v>158433.60000000001</v>
      </c>
      <c r="H140" s="31">
        <f>((H132*80)+(H134*($B$15-80)))*'Start Page'!$C$65</f>
        <v>163228</v>
      </c>
      <c r="I140" s="31">
        <f>((I132*80)+(I134*($B$15-80)))*'Start Page'!$C$65</f>
        <v>168032.80000000002</v>
      </c>
      <c r="J140" s="31">
        <f>((J132*80)+(J134*($B$15-80)))*'Start Page'!$C$65</f>
        <v>172827.2</v>
      </c>
      <c r="K140" s="31">
        <f>((K132*80)+(K134*($B$15-80)))*'Start Page'!$C$65</f>
        <v>177642.4</v>
      </c>
      <c r="L140" s="31">
        <f>((L132*80)+(L134*($B$15-80)))*'Start Page'!$C$65</f>
        <v>182436.8</v>
      </c>
      <c r="M140" s="89">
        <f>((M132*80)+(M134*($B$15-80)))*'Start Page'!$C$65</f>
        <v>187252</v>
      </c>
    </row>
    <row r="141" spans="1:13" x14ac:dyDescent="0.2">
      <c r="A141"/>
      <c r="B141"/>
      <c r="C141"/>
      <c r="D141"/>
      <c r="E141"/>
      <c r="F141"/>
      <c r="G141"/>
      <c r="H141"/>
      <c r="I141"/>
      <c r="J141"/>
      <c r="K141"/>
      <c r="L141"/>
      <c r="M141" s="26"/>
    </row>
    <row r="142" spans="1:13" x14ac:dyDescent="0.2">
      <c r="A142"/>
      <c r="B142"/>
      <c r="C142"/>
      <c r="D142"/>
      <c r="E142"/>
      <c r="F142"/>
      <c r="G142"/>
      <c r="H142"/>
      <c r="I142"/>
      <c r="J142"/>
      <c r="K142"/>
      <c r="L142"/>
      <c r="M142"/>
    </row>
    <row r="143" spans="1:13" x14ac:dyDescent="0.2">
      <c r="A143" s="10" t="s">
        <v>75</v>
      </c>
      <c r="B143" s="10"/>
      <c r="C143"/>
      <c r="D143"/>
      <c r="E143"/>
      <c r="F143"/>
      <c r="G143"/>
      <c r="H143"/>
      <c r="I143"/>
      <c r="J143"/>
      <c r="K143"/>
      <c r="L143"/>
      <c r="M143"/>
    </row>
    <row r="144" spans="1:13" x14ac:dyDescent="0.2">
      <c r="A144" s="10" t="s">
        <v>72</v>
      </c>
      <c r="B144"/>
      <c r="C144"/>
      <c r="D144"/>
      <c r="E144"/>
      <c r="F144"/>
      <c r="G144"/>
      <c r="H144"/>
      <c r="I144"/>
      <c r="J144"/>
      <c r="K144"/>
      <c r="L144"/>
      <c r="M144"/>
    </row>
    <row r="145" spans="1:13" x14ac:dyDescent="0.2">
      <c r="A145" s="10"/>
      <c r="B145"/>
      <c r="C145"/>
      <c r="D145"/>
      <c r="E145"/>
      <c r="F145"/>
      <c r="G145"/>
      <c r="H145"/>
      <c r="I145"/>
      <c r="J145"/>
      <c r="K145"/>
      <c r="L145"/>
      <c r="M145"/>
    </row>
    <row r="146" spans="1:13" x14ac:dyDescent="0.2">
      <c r="A146" s="10" t="s">
        <v>73</v>
      </c>
      <c r="E146" s="33"/>
      <c r="G146" s="35"/>
    </row>
    <row r="147" spans="1:13" x14ac:dyDescent="0.2">
      <c r="A147" s="10" t="s">
        <v>74</v>
      </c>
      <c r="E147" s="33"/>
      <c r="G147" s="35"/>
    </row>
    <row r="148" spans="1:13" x14ac:dyDescent="0.2">
      <c r="A148" t="s">
        <v>19</v>
      </c>
      <c r="B148"/>
      <c r="C148"/>
      <c r="D148"/>
      <c r="E148"/>
      <c r="F148"/>
      <c r="G148"/>
      <c r="H148"/>
      <c r="I148"/>
      <c r="J148"/>
      <c r="K148"/>
      <c r="L148"/>
      <c r="M148"/>
    </row>
    <row r="149" spans="1:13" x14ac:dyDescent="0.2">
      <c r="A149" s="10" t="s">
        <v>32</v>
      </c>
      <c r="B149" s="10"/>
      <c r="C149"/>
      <c r="D149"/>
      <c r="E149"/>
      <c r="F149"/>
      <c r="G149" s="27">
        <f>ROUND(ROUND(D85/2087,2)*1.5,2)</f>
        <v>40.71</v>
      </c>
      <c r="I149"/>
      <c r="J149"/>
      <c r="K149"/>
      <c r="L149"/>
      <c r="M149"/>
    </row>
    <row r="150" spans="1:13" x14ac:dyDescent="0.2">
      <c r="A150"/>
      <c r="B150"/>
      <c r="C150"/>
      <c r="D150"/>
      <c r="E150"/>
      <c r="F150"/>
      <c r="G150"/>
      <c r="H150"/>
      <c r="I150"/>
      <c r="J150"/>
      <c r="K150"/>
      <c r="L150"/>
      <c r="M150"/>
    </row>
    <row r="151" spans="1:13" x14ac:dyDescent="0.2">
      <c r="A151" s="10" t="s">
        <v>36</v>
      </c>
      <c r="B151" s="10"/>
      <c r="C151"/>
      <c r="D151"/>
      <c r="E151"/>
      <c r="F151"/>
      <c r="G151"/>
      <c r="H151"/>
      <c r="I151"/>
      <c r="J151"/>
      <c r="K151"/>
      <c r="L151"/>
      <c r="M151"/>
    </row>
  </sheetData>
  <sheetProtection password="CCE4" sheet="1" objects="1" scenarios="1"/>
  <mergeCells count="2">
    <mergeCell ref="F4:I4"/>
    <mergeCell ref="G5:H5"/>
  </mergeCells>
  <phoneticPr fontId="0" type="noConversion"/>
  <hyperlinks>
    <hyperlink ref="G5:H5" location="'Start Page'!C19" display="Return to Start Page" xr:uid="{00000000-0004-0000-0700-000000000000}"/>
  </hyperlinks>
  <printOptions horizontalCentered="1" verticalCentered="1"/>
  <pageMargins left="0.5" right="0.5" top="0.5" bottom="0.5" header="0.5" footer="0.5"/>
  <pageSetup scale="75" fitToHeight="2" orientation="landscape" horizontalDpi="300" verticalDpi="300" r:id="rId1"/>
  <headerFooter alignWithMargins="0"/>
  <rowBreaks count="2" manualBreakCount="2">
    <brk id="50" max="12" man="1"/>
    <brk id="95" max="12" man="1"/>
  </rowBreaks>
  <legacy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1:O26"/>
  <sheetViews>
    <sheetView showGridLines="0" topLeftCell="A2" workbookViewId="0">
      <selection activeCell="H26" sqref="H26:I26"/>
    </sheetView>
  </sheetViews>
  <sheetFormatPr defaultRowHeight="12.75" x14ac:dyDescent="0.2"/>
  <sheetData>
    <row r="21" spans="3:15" ht="30" x14ac:dyDescent="0.4">
      <c r="C21" s="136" t="s">
        <v>95</v>
      </c>
      <c r="D21" s="136"/>
      <c r="E21" s="136"/>
      <c r="F21" s="136"/>
      <c r="G21" s="136"/>
      <c r="I21" s="136" t="s">
        <v>96</v>
      </c>
      <c r="J21" s="136"/>
      <c r="K21" s="136"/>
      <c r="L21" s="136"/>
      <c r="M21" s="136"/>
      <c r="N21" s="136"/>
      <c r="O21" s="136"/>
    </row>
    <row r="26" spans="3:15" x14ac:dyDescent="0.2">
      <c r="H26" s="115" t="s">
        <v>93</v>
      </c>
      <c r="I26" s="115"/>
    </row>
  </sheetData>
  <sheetProtection password="CCE4" sheet="1" objects="1" scenarios="1"/>
  <mergeCells count="3">
    <mergeCell ref="C21:G21"/>
    <mergeCell ref="I21:O21"/>
    <mergeCell ref="H26:I26"/>
  </mergeCells>
  <phoneticPr fontId="0" type="noConversion"/>
  <hyperlinks>
    <hyperlink ref="C21:G21" location="'Shift Firefighters'!G5" display="Shift Firefighters" xr:uid="{00000000-0004-0000-0800-000000000000}"/>
    <hyperlink ref="I21:O21" location="'Chief, Training, Inspectors'!G5" display="Chief / Training / Inspectors" xr:uid="{00000000-0004-0000-0800-000001000000}"/>
    <hyperlink ref="H26:I26" location="'Start Page'!C19" display="Return to Start Page" xr:uid="{00000000-0004-0000-0800-000002000000}"/>
  </hyperlinks>
  <pageMargins left="0.7" right="0.7" top="0.75" bottom="0.75" header="0.3" footer="0.3"/>
  <pageSetup orientation="portrait" horizontalDpi="300" verticalDpi="300" r:id="rId1"/>
  <headerFooter alignWithMargins="0"/>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Start Page</vt:lpstr>
      <vt:lpstr>GS Pay Calculator</vt:lpstr>
      <vt:lpstr>GS Pay - No Locality</vt:lpstr>
      <vt:lpstr>Locality Rates</vt:lpstr>
      <vt:lpstr>Pay Retention &amp; Special Rates</vt:lpstr>
      <vt:lpstr>GS Pay Scale</vt:lpstr>
      <vt:lpstr>Shift Firefighters</vt:lpstr>
      <vt:lpstr>Chief, Training, Inspectors</vt:lpstr>
      <vt:lpstr>.</vt:lpstr>
      <vt:lpstr>Inspectors</vt:lpstr>
      <vt:lpstr>Locality</vt:lpstr>
      <vt:lpstr>Post</vt:lpstr>
      <vt:lpstr>'Chief, Training, Inspectors'!Print_Area</vt:lpstr>
      <vt:lpstr>'Locality Rates'!Print_Area</vt:lpstr>
      <vt:lpstr>Shift</vt:lpstr>
      <vt:lpstr>Shift1</vt:lpstr>
      <vt:lpstr>'GS Pay Scale'!TABLE</vt:lpstr>
      <vt:lpstr>'GS Pay Scale'!TABLE_10</vt:lpstr>
      <vt:lpstr>'GS Pay Scale'!TABLE_11</vt:lpstr>
      <vt:lpstr>'GS Pay Scale'!TABLE_12</vt:lpstr>
      <vt:lpstr>'GS Pay Scale'!TABLE_13</vt:lpstr>
      <vt:lpstr>'GS Pay Scale'!TABLE_14</vt:lpstr>
      <vt:lpstr>'GS Pay Scale'!TABLE_15</vt:lpstr>
      <vt:lpstr>'GS Pay Scale'!TABLE_16</vt:lpstr>
      <vt:lpstr>'GS Pay Scale'!TABLE_17</vt:lpstr>
      <vt:lpstr>'GS Pay Scale'!TABLE_18</vt:lpstr>
      <vt:lpstr>'GS Pay Scale'!TABLE_19</vt:lpstr>
      <vt:lpstr>'GS Pay Scale'!TABLE_2</vt:lpstr>
      <vt:lpstr>'GS Pay Scale'!TABLE_20</vt:lpstr>
      <vt:lpstr>'GS Pay Scale'!TABLE_21</vt:lpstr>
      <vt:lpstr>'GS Pay Scale'!TABLE_22</vt:lpstr>
      <vt:lpstr>'GS Pay Scale'!TABLE_23</vt:lpstr>
      <vt:lpstr>'GS Pay Scale'!TABLE_24</vt:lpstr>
      <vt:lpstr>'GS Pay Scale'!TABLE_25</vt:lpstr>
      <vt:lpstr>'GS Pay Scale'!TABLE_26</vt:lpstr>
      <vt:lpstr>'GS Pay Scale'!TABLE_27</vt:lpstr>
      <vt:lpstr>'GS Pay Scale'!TABLE_28</vt:lpstr>
      <vt:lpstr>'GS Pay Scale'!TABLE_29</vt:lpstr>
      <vt:lpstr>'GS Pay Scale'!TABLE_3</vt:lpstr>
      <vt:lpstr>'GS Pay Scale'!TABLE_30</vt:lpstr>
      <vt:lpstr>'GS Pay Scale'!TABLE_31</vt:lpstr>
      <vt:lpstr>'GS Pay Scale'!TABLE_32</vt:lpstr>
      <vt:lpstr>'GS Pay Scale'!TABLE_4</vt:lpstr>
      <vt:lpstr>'GS Pay Scale'!TABLE_5</vt:lpstr>
      <vt:lpstr>'GS Pay Scale'!TABLE_6</vt:lpstr>
      <vt:lpstr>'GS Pay Scale'!TABLE_7</vt:lpstr>
      <vt:lpstr>'GS Pay Scale'!TABLE_8</vt:lpstr>
      <vt:lpstr>'GS Pay Scale'!TABLE_9</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 Schedule</dc:title>
  <dc:creator>Tony Fanchi</dc:creator>
  <cp:lastModifiedBy>Anthony Fanchi</cp:lastModifiedBy>
  <cp:lastPrinted>2013-12-24T03:33:33Z</cp:lastPrinted>
  <dcterms:created xsi:type="dcterms:W3CDTF">1999-02-27T03:27:03Z</dcterms:created>
  <dcterms:modified xsi:type="dcterms:W3CDTF">2019-03-29T02:28:50Z</dcterms:modified>
</cp:coreProperties>
</file>